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E:\MASCARO DOCUMENTS\BIOLASE\"/>
    </mc:Choice>
  </mc:AlternateContent>
  <xr:revisionPtr revIDLastSave="0" documentId="13_ncr:1_{B22AA4F0-04FB-4E98-8267-9FB190BBBBE7}" xr6:coauthVersionLast="41" xr6:coauthVersionMax="41" xr10:uidLastSave="{00000000-0000-0000-0000-000000000000}"/>
  <workbookProtection workbookAlgorithmName="SHA-512" workbookHashValue="RxgvTTrIVYfdyKD2on30+vryGmH72zSLHZ6fXEFawv9ge6woiCAO+Ango8ElKlubD0aqbbjQNHpVgZmbFal0NQ==" workbookSaltValue="16TR7tsGaRvJ6ien+4vGLg==" workbookSpinCount="100000" lockStructure="1"/>
  <bookViews>
    <workbookView xWindow="-120" yWindow="-120" windowWidth="20640" windowHeight="11160" tabRatio="745" xr2:uid="{00000000-000D-0000-FFFF-FFFF00000000}"/>
  </bookViews>
  <sheets>
    <sheet name="Quoting Worksheet" sheetId="67" r:id="rId1"/>
    <sheet name="Interest Buydown Worksheet" sheetId="72" state="hidden" r:id="rId2"/>
    <sheet name="Rate Factor Sheet" sheetId="69" r:id="rId3"/>
    <sheet name="Customer Proposal and App" sheetId="68" r:id="rId4"/>
    <sheet name="Q3&amp;Q4 Promotion 3.5%" sheetId="71" state="hidden" r:id="rId5"/>
    <sheet name="Q3&amp;Q4 Promotion 6 Mos. Cash" sheetId="74" state="hidden" r:id="rId6"/>
    <sheet name="Epic 0% Proposal and App" sheetId="70" r:id="rId7"/>
  </sheets>
  <externalReferences>
    <externalReference r:id="rId8"/>
    <externalReference r:id="rId9"/>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74" l="1"/>
  <c r="F25" i="74" s="1"/>
  <c r="F13" i="74"/>
  <c r="E13" i="74"/>
  <c r="D13" i="74"/>
  <c r="C13" i="74"/>
  <c r="B13" i="74"/>
  <c r="F12" i="74"/>
  <c r="E12" i="74"/>
  <c r="D12" i="74"/>
  <c r="C12" i="74"/>
  <c r="B12" i="74"/>
  <c r="A6" i="74"/>
  <c r="F30" i="74" l="1"/>
  <c r="F34" i="74" s="1"/>
  <c r="B9" i="70"/>
  <c r="B8" i="70"/>
  <c r="C12" i="70" s="1"/>
  <c r="B7" i="70"/>
  <c r="B6" i="70"/>
  <c r="A5" i="70"/>
  <c r="B9" i="71"/>
  <c r="B8" i="71"/>
  <c r="F22" i="71" s="1"/>
  <c r="B7" i="71"/>
  <c r="B6" i="71"/>
  <c r="A5" i="71"/>
  <c r="F13" i="68"/>
  <c r="B9" i="68"/>
  <c r="B8" i="68"/>
  <c r="F25" i="68" s="1"/>
  <c r="B7" i="68"/>
  <c r="B6" i="68"/>
  <c r="A5" i="68"/>
  <c r="P35" i="72"/>
  <c r="O35" i="72"/>
  <c r="N35" i="72"/>
  <c r="M35" i="72"/>
  <c r="L35" i="72"/>
  <c r="P33" i="72"/>
  <c r="O33" i="72"/>
  <c r="N33" i="72"/>
  <c r="M33" i="72"/>
  <c r="L33" i="72"/>
  <c r="P32" i="72"/>
  <c r="O32" i="72"/>
  <c r="N32" i="72"/>
  <c r="M32" i="72"/>
  <c r="L32" i="72"/>
  <c r="P31" i="72"/>
  <c r="O31" i="72"/>
  <c r="N31" i="72"/>
  <c r="M31" i="72"/>
  <c r="L31" i="72"/>
  <c r="P30" i="72"/>
  <c r="O30" i="72"/>
  <c r="N30" i="72"/>
  <c r="M30" i="72"/>
  <c r="L30" i="72"/>
  <c r="P28" i="72"/>
  <c r="O28" i="72"/>
  <c r="N28" i="72"/>
  <c r="M28" i="72"/>
  <c r="L28" i="72"/>
  <c r="P27" i="72"/>
  <c r="O27" i="72"/>
  <c r="N27" i="72"/>
  <c r="M27" i="72"/>
  <c r="L27" i="72"/>
  <c r="P26" i="72"/>
  <c r="O26" i="72"/>
  <c r="N26" i="72"/>
  <c r="M26" i="72"/>
  <c r="L26" i="72"/>
  <c r="P25" i="72"/>
  <c r="O25" i="72"/>
  <c r="N25" i="72"/>
  <c r="M25" i="72"/>
  <c r="L25" i="72"/>
  <c r="X18" i="72"/>
  <c r="P18" i="72" s="1"/>
  <c r="W18" i="72"/>
  <c r="O18" i="72" s="1"/>
  <c r="V18" i="72"/>
  <c r="U18" i="72"/>
  <c r="M18" i="72" s="1"/>
  <c r="T18" i="72"/>
  <c r="N18" i="72"/>
  <c r="L18" i="72"/>
  <c r="X16" i="72"/>
  <c r="P16" i="72" s="1"/>
  <c r="W16" i="72"/>
  <c r="O16" i="72" s="1"/>
  <c r="V16" i="72"/>
  <c r="N16" i="72" s="1"/>
  <c r="U16" i="72"/>
  <c r="M16" i="72" s="1"/>
  <c r="T16" i="72"/>
  <c r="L16" i="72" s="1"/>
  <c r="X15" i="72"/>
  <c r="W15" i="72"/>
  <c r="O15" i="72" s="1"/>
  <c r="V15" i="72"/>
  <c r="N15" i="72" s="1"/>
  <c r="U15" i="72"/>
  <c r="M15" i="72" s="1"/>
  <c r="T15" i="72"/>
  <c r="P15" i="72"/>
  <c r="L15" i="72"/>
  <c r="X14" i="72"/>
  <c r="W14" i="72"/>
  <c r="O14" i="72" s="1"/>
  <c r="V14" i="72"/>
  <c r="N14" i="72" s="1"/>
  <c r="U14" i="72"/>
  <c r="M14" i="72" s="1"/>
  <c r="T14" i="72"/>
  <c r="P14" i="72"/>
  <c r="L14" i="72"/>
  <c r="X13" i="72"/>
  <c r="W13" i="72"/>
  <c r="O13" i="72" s="1"/>
  <c r="V13" i="72"/>
  <c r="N13" i="72" s="1"/>
  <c r="U13" i="72"/>
  <c r="M13" i="72" s="1"/>
  <c r="T13" i="72"/>
  <c r="P13" i="72"/>
  <c r="L13" i="72"/>
  <c r="P11" i="72"/>
  <c r="O11" i="72"/>
  <c r="N11" i="72"/>
  <c r="M11" i="72"/>
  <c r="L11" i="72"/>
  <c r="P10" i="72"/>
  <c r="O10" i="72"/>
  <c r="N10" i="72"/>
  <c r="M10" i="72"/>
  <c r="L10" i="72"/>
  <c r="P9" i="72"/>
  <c r="O9" i="72"/>
  <c r="N9" i="72"/>
  <c r="M9" i="72"/>
  <c r="L9" i="72"/>
  <c r="P8" i="72"/>
  <c r="O8" i="72"/>
  <c r="N8" i="72"/>
  <c r="M8" i="72"/>
  <c r="L8" i="72"/>
  <c r="C8" i="72"/>
  <c r="C6" i="72"/>
  <c r="A4" i="72"/>
  <c r="B4" i="72" s="1"/>
  <c r="A2" i="72"/>
  <c r="AA23" i="67"/>
  <c r="N17" i="67" s="1"/>
  <c r="F17" i="74" s="1"/>
  <c r="Z23" i="67"/>
  <c r="M17" i="67" s="1"/>
  <c r="E17" i="74" s="1"/>
  <c r="Y23" i="67"/>
  <c r="L17" i="67" s="1"/>
  <c r="D17" i="74" s="1"/>
  <c r="X23" i="67"/>
  <c r="K17" i="67" s="1"/>
  <c r="C17" i="74" s="1"/>
  <c r="W23" i="67"/>
  <c r="D23" i="67"/>
  <c r="E23" i="67" s="1"/>
  <c r="C23" i="67"/>
  <c r="AA18" i="67"/>
  <c r="F19" i="67" s="1"/>
  <c r="F17" i="68" s="1"/>
  <c r="Z18" i="67"/>
  <c r="E19" i="67" s="1"/>
  <c r="E17" i="68" s="1"/>
  <c r="Y18" i="67"/>
  <c r="D19" i="67" s="1"/>
  <c r="D17" i="68" s="1"/>
  <c r="X18" i="67"/>
  <c r="C19" i="67" s="1"/>
  <c r="C17" i="68" s="1"/>
  <c r="W18" i="67"/>
  <c r="B19" i="67" s="1"/>
  <c r="B17" i="68" s="1"/>
  <c r="N18" i="67"/>
  <c r="N19" i="67" s="1"/>
  <c r="M18" i="67"/>
  <c r="M19" i="67" s="1"/>
  <c r="L18" i="67"/>
  <c r="L19" i="67" s="1"/>
  <c r="K18" i="67"/>
  <c r="K19" i="67" s="1"/>
  <c r="J18" i="67"/>
  <c r="J19" i="67" s="1"/>
  <c r="Z16" i="67"/>
  <c r="Y16" i="67"/>
  <c r="X16" i="67"/>
  <c r="W16" i="67"/>
  <c r="B15" i="67" s="1"/>
  <c r="B13" i="68" s="1"/>
  <c r="Z15" i="67"/>
  <c r="Y15" i="67"/>
  <c r="X15" i="67"/>
  <c r="W15" i="67"/>
  <c r="E15" i="67"/>
  <c r="E13" i="68" s="1"/>
  <c r="D15" i="67"/>
  <c r="D13" i="68" s="1"/>
  <c r="C15" i="67"/>
  <c r="C13" i="68" s="1"/>
  <c r="Z14" i="67"/>
  <c r="Y14" i="67"/>
  <c r="X14" i="67"/>
  <c r="W14" i="67"/>
  <c r="Z13" i="67"/>
  <c r="Y13" i="67"/>
  <c r="X13" i="67"/>
  <c r="W13" i="67"/>
  <c r="AA11" i="67"/>
  <c r="F14" i="67" s="1"/>
  <c r="F12" i="68" s="1"/>
  <c r="Z11" i="67"/>
  <c r="E14" i="67" s="1"/>
  <c r="E12" i="68" s="1"/>
  <c r="Y11" i="67"/>
  <c r="D14" i="67" s="1"/>
  <c r="D12" i="68" s="1"/>
  <c r="X11" i="67"/>
  <c r="C14" i="67" s="1"/>
  <c r="C12" i="68" s="1"/>
  <c r="W11" i="67"/>
  <c r="B14" i="67" s="1"/>
  <c r="B12" i="68" s="1"/>
  <c r="AA10" i="67"/>
  <c r="Z10" i="67"/>
  <c r="Y10" i="67"/>
  <c r="X10" i="67"/>
  <c r="W10" i="67"/>
  <c r="AA9" i="67"/>
  <c r="Z9" i="67"/>
  <c r="Y9" i="67"/>
  <c r="X9" i="67"/>
  <c r="W9" i="67"/>
  <c r="AA8" i="67"/>
  <c r="Z8" i="67"/>
  <c r="Y8" i="67"/>
  <c r="X8" i="67"/>
  <c r="W8" i="67"/>
  <c r="F8" i="67"/>
  <c r="A4" i="67"/>
  <c r="B4" i="67" s="1"/>
  <c r="A2" i="67"/>
  <c r="J17" i="67" l="1"/>
  <c r="B17" i="74" s="1"/>
  <c r="B5" i="70"/>
  <c r="F22" i="70"/>
  <c r="F27" i="70" s="1"/>
  <c r="F31" i="70" s="1"/>
  <c r="F30" i="68"/>
  <c r="F34" i="68" s="1"/>
  <c r="F27" i="71"/>
  <c r="F31" i="71" s="1"/>
  <c r="B22" i="72"/>
  <c r="F29" i="72"/>
  <c r="F8" i="72"/>
  <c r="B14" i="72"/>
  <c r="B17" i="72" s="1"/>
  <c r="B16" i="72" s="1"/>
  <c r="F14" i="72"/>
  <c r="L11" i="67" s="1"/>
  <c r="D12" i="71" s="1"/>
  <c r="C22" i="72"/>
  <c r="C29" i="72"/>
  <c r="E14" i="72"/>
  <c r="K11" i="67" s="1"/>
  <c r="C12" i="71" s="1"/>
  <c r="F22" i="72"/>
  <c r="B29" i="72"/>
  <c r="C14" i="72"/>
  <c r="C17" i="72" s="1"/>
  <c r="C16" i="72" s="1"/>
  <c r="D22" i="72"/>
  <c r="D29" i="72"/>
  <c r="D14" i="72"/>
  <c r="D17" i="72" s="1"/>
  <c r="D16" i="72" s="1"/>
  <c r="J12" i="67" s="1"/>
  <c r="J13" i="67" s="1"/>
  <c r="E22" i="72"/>
  <c r="E29" i="72"/>
  <c r="F17" i="72" l="1"/>
  <c r="F16" i="72" s="1"/>
  <c r="L12" i="67" s="1"/>
  <c r="L13" i="67" s="1"/>
  <c r="B5" i="71"/>
  <c r="B5" i="68"/>
  <c r="E17" i="72"/>
  <c r="E16" i="72" s="1"/>
  <c r="K12" i="67" s="1"/>
  <c r="K13" i="67" s="1"/>
  <c r="B32" i="72"/>
  <c r="B31" i="72" s="1"/>
  <c r="B30" i="72"/>
  <c r="C23" i="72"/>
  <c r="C25" i="72"/>
  <c r="C24" i="72" s="1"/>
  <c r="F32" i="72"/>
  <c r="F31" i="72" s="1"/>
  <c r="F30" i="72"/>
  <c r="E30" i="72"/>
  <c r="E32" i="72"/>
  <c r="E31" i="72" s="1"/>
  <c r="D23" i="72"/>
  <c r="D25" i="72"/>
  <c r="D24" i="72" s="1"/>
  <c r="B25" i="72"/>
  <c r="B24" i="72" s="1"/>
  <c r="B23" i="72"/>
  <c r="D32" i="72"/>
  <c r="D31" i="72" s="1"/>
  <c r="D30" i="72"/>
  <c r="F25" i="72"/>
  <c r="F24" i="72" s="1"/>
  <c r="F23" i="72"/>
  <c r="C32" i="72"/>
  <c r="C31" i="72" s="1"/>
  <c r="C30" i="72"/>
  <c r="J11" i="67"/>
  <c r="B12" i="71" s="1"/>
  <c r="E23" i="72"/>
  <c r="E25" i="72"/>
  <c r="E24" i="72" s="1"/>
  <c r="B6" i="74"/>
</calcChain>
</file>

<file path=xl/sharedStrings.xml><?xml version="1.0" encoding="utf-8"?>
<sst xmlns="http://schemas.openxmlformats.org/spreadsheetml/2006/main" count="249" uniqueCount="104">
  <si>
    <t>Pricing Worksheet for Equipment Finance Options</t>
  </si>
  <si>
    <t>Customer Name:</t>
  </si>
  <si>
    <t>Structure*</t>
  </si>
  <si>
    <t>Deal Size</t>
  </si>
  <si>
    <t>Equipment Description:</t>
  </si>
  <si>
    <t>Waterlase</t>
  </si>
  <si>
    <t>Equipment Cost ($5,000 Min.):</t>
  </si>
  <si>
    <t>Standard Rates</t>
  </si>
  <si>
    <t>Vendor Sales Rep:</t>
  </si>
  <si>
    <t>Sales Rep Phone #:</t>
  </si>
  <si>
    <t>Equipment Finance Proposal</t>
  </si>
  <si>
    <t>90 Day Deferred</t>
  </si>
  <si>
    <t>Zero Down</t>
  </si>
  <si>
    <t>N/A</t>
  </si>
  <si>
    <t xml:space="preserve">                                             6 Month Deferral Promotion! 6 Mos. @ $0.00 Followed by:</t>
  </si>
  <si>
    <t xml:space="preserve">6 Month Deferral </t>
  </si>
  <si>
    <t>Please see the Customer Proposal and App tab for the full proposal.</t>
  </si>
  <si>
    <t xml:space="preserve">Rates are for credit qualified transactions with a personal guaranty.  Corporate only approval will have a risk adjusted rate. </t>
  </si>
  <si>
    <t>36 months .0306</t>
  </si>
  <si>
    <t>There will be a one-time $119 documentation fee assessed on the first invoice.</t>
  </si>
  <si>
    <t>48 months .0235</t>
  </si>
  <si>
    <t>60 months .0193</t>
  </si>
  <si>
    <t xml:space="preserve">The proposal terms and pricing are subject to credit approval and meeting all underwriting and </t>
  </si>
  <si>
    <t>72 months .0164</t>
  </si>
  <si>
    <t xml:space="preserve">documentation requirements.  This proposal is not a commitment to enter into a transaction by either </t>
  </si>
  <si>
    <t>84 months .0154</t>
  </si>
  <si>
    <t xml:space="preserve">party. </t>
  </si>
  <si>
    <t>Any additional questions? Please contact:</t>
  </si>
  <si>
    <t>kcro@marlinfinance.com</t>
  </si>
  <si>
    <t>Phone: 856-505-4268        Fax: 800-936-0147</t>
  </si>
  <si>
    <t>Deferred Payment Options for Biolase  Equipment</t>
  </si>
  <si>
    <t xml:space="preserve">Prepared for: </t>
  </si>
  <si>
    <t>Equipment:</t>
  </si>
  <si>
    <t>Equipment Cost:</t>
  </si>
  <si>
    <t xml:space="preserve">Prepared by: </t>
  </si>
  <si>
    <t>30 Day Deferred</t>
  </si>
  <si>
    <t xml:space="preserve">                                   6 Month Deferral Promotion! 6 Mos. @ $0.00 Followed by:</t>
  </si>
  <si>
    <t>Payments are excluding applicable taxes (if any).  Your finance quote is valid for 30 days from the proposal date.</t>
  </si>
  <si>
    <t xml:space="preserve">There will be a one-time $119 documentation fee assessed on the first invoice. </t>
  </si>
  <si>
    <t>Finance Application</t>
  </si>
  <si>
    <t>POTENTIAL TAX SAVINGS</t>
  </si>
  <si>
    <t>Section 179 Deduction</t>
  </si>
  <si>
    <t>$1MM is the max 179 write off.</t>
  </si>
  <si>
    <t>Cash Savings Assuming Rate of 35%:</t>
  </si>
  <si>
    <t>of 21%</t>
  </si>
  <si>
    <t>Lowered Cost of Equipment</t>
  </si>
  <si>
    <t>After Tax Savings</t>
  </si>
  <si>
    <r>
      <t>*Credit &amp; equipment restrictions apply.  This program does not assume your company will qualify to take advantage of the IRS Section #179 depreciation schedule which allows rapid first year depreciation of certain assets acquired. The amount of previous depreciation your company may have used may affect your ability to utilize the elections</t>
    </r>
    <r>
      <rPr>
        <b/>
        <sz val="7.5"/>
        <color theme="1"/>
        <rFont val="Century Gothic"/>
        <family val="2"/>
      </rPr>
      <t>. This calculation is not tax advice</t>
    </r>
    <r>
      <rPr>
        <sz val="7.5"/>
        <color theme="1"/>
        <rFont val="Century Gothic"/>
        <family val="2"/>
      </rPr>
      <t xml:space="preserve">, it is a potential tax scenario based on assumptions that may not apply to your business.  Please consult your tax advisor to determine the actual tax treatment in acquiring this equipment for your business. Equipment must be purchased and placed in service by 12/31/2018.
</t>
    </r>
  </si>
  <si>
    <t>The person(s) supplying the above information certies to Marlin Leasing Corporation that it is true and correct. The Owners/Partners/Guarantors recognize that their individual credit histories may be a factor in the evaluation of the lease applicant and, thus, authorize Marlin Leasing Corporation or its designee to investigate their personal credit status. This includes obtaining and using their consumer credit reports from time to time in the credit evaluation and collection processes.</t>
  </si>
  <si>
    <t>X___________________________________________</t>
  </si>
  <si>
    <t xml:space="preserve">        X_______________</t>
  </si>
  <si>
    <t xml:space="preserve">    Authorized Signature</t>
  </si>
  <si>
    <t xml:space="preserve">                     Date</t>
  </si>
  <si>
    <t xml:space="preserve">Send the completed aplication to: </t>
  </si>
  <si>
    <t>6 Month Deferral Promotion! 6 Mos. @ $0.00 Followed by:</t>
  </si>
  <si>
    <t xml:space="preserve">Limited Time Only:  12 Months 0% Financing! </t>
  </si>
  <si>
    <t>12 Payments</t>
  </si>
  <si>
    <t xml:space="preserve">Payment </t>
  </si>
  <si>
    <t xml:space="preserve"> 0% for 12 Mos. Promotion (Epic Only)</t>
  </si>
  <si>
    <t>Invoice Discount</t>
  </si>
  <si>
    <t>Amount Funded</t>
  </si>
  <si>
    <t>6 Months at $0.00 Followed by:</t>
  </si>
  <si>
    <t>3 Months at $0.00 Followed by:</t>
  </si>
  <si>
    <t>No money down</t>
  </si>
  <si>
    <t>888-479-9111</t>
  </si>
  <si>
    <r>
      <t xml:space="preserve">Complete fields in </t>
    </r>
    <r>
      <rPr>
        <b/>
        <sz val="14"/>
        <color theme="6" tint="-0.249977111117893"/>
        <rFont val="Century Gothic"/>
        <family val="2"/>
      </rPr>
      <t>GREEN</t>
    </r>
    <r>
      <rPr>
        <sz val="11"/>
        <color theme="1"/>
        <rFont val="Century Gothic"/>
        <family val="2"/>
      </rPr>
      <t xml:space="preserve"> to get started.</t>
    </r>
  </si>
  <si>
    <t xml:space="preserve">Limited Time Only:  3.5% Financing! </t>
  </si>
  <si>
    <t>No Money Down Payments</t>
  </si>
  <si>
    <t>Payment</t>
  </si>
  <si>
    <t>Rate to Customer</t>
  </si>
  <si>
    <t xml:space="preserve">Invoice Discount </t>
  </si>
  <si>
    <t>Funding Amount</t>
  </si>
  <si>
    <t>Q3 &amp; Q4 Promotions!</t>
  </si>
  <si>
    <t>6 Months Same as Cash Promotion</t>
  </si>
  <si>
    <t>3.5% Promotion ($25,000 Minium)</t>
  </si>
  <si>
    <t>Customer signs up for a standard 6 month deferral</t>
  </si>
  <si>
    <t>Customer has 6 mos. to pay off the cash price of the equipment</t>
  </si>
  <si>
    <t>Biolase discounts the invoice 3.49%</t>
  </si>
  <si>
    <t xml:space="preserve">                 </t>
  </si>
  <si>
    <t xml:space="preserve">If the customer chooses not to pay off the contract within </t>
  </si>
  <si>
    <t>6 months, the regular payments commence</t>
  </si>
  <si>
    <t>6 Mos. Same as Cash</t>
  </si>
  <si>
    <t>Pymts After 6 @ $0</t>
  </si>
  <si>
    <t>6 Months Same as Cash Promotion!</t>
  </si>
  <si>
    <t>IRS 179 Special</t>
  </si>
  <si>
    <t>Dr. Smith, DDS</t>
  </si>
  <si>
    <t>Cost After Credit:</t>
  </si>
  <si>
    <t>Ryan Meardon</t>
  </si>
  <si>
    <t>Pay Off in the First 6 Months, or Make Monthly Payments of:</t>
  </si>
  <si>
    <r>
      <rPr>
        <b/>
        <sz val="11"/>
        <color theme="1"/>
        <rFont val="Century Gothic"/>
        <family val="2"/>
      </rPr>
      <t>Kathy Cro</t>
    </r>
    <r>
      <rPr>
        <sz val="11"/>
        <color theme="1"/>
        <rFont val="Century Gothic"/>
        <family val="2"/>
      </rPr>
      <t>, Business Development Manager</t>
    </r>
  </si>
  <si>
    <t>Central and Western</t>
  </si>
  <si>
    <r>
      <rPr>
        <b/>
        <sz val="11"/>
        <color theme="1"/>
        <rFont val="Century Gothic"/>
        <family val="2"/>
      </rPr>
      <t>Breeze Keller</t>
    </r>
    <r>
      <rPr>
        <sz val="11"/>
        <color theme="1"/>
        <rFont val="Century Gothic"/>
        <family val="2"/>
      </rPr>
      <t>, Business Development Manager</t>
    </r>
  </si>
  <si>
    <t>Northeast and Southeast</t>
  </si>
  <si>
    <t>breezekeller@marlinfinance.com</t>
  </si>
  <si>
    <t>Phone: 856-505-4195        Fax: 800-936-0147</t>
  </si>
  <si>
    <t xml:space="preserve">Phone: 856-505-4195        </t>
  </si>
  <si>
    <t xml:space="preserve">Phone: 856-505-4268        </t>
  </si>
  <si>
    <r>
      <rPr>
        <b/>
        <sz val="11"/>
        <color theme="1"/>
        <rFont val="Century Gothic"/>
        <family val="2"/>
      </rPr>
      <t>Kathy Cro</t>
    </r>
    <r>
      <rPr>
        <sz val="11"/>
        <color theme="1"/>
        <rFont val="Century Gothic"/>
        <family val="2"/>
      </rPr>
      <t>, Central &amp; West</t>
    </r>
  </si>
  <si>
    <r>
      <rPr>
        <b/>
        <sz val="11"/>
        <color theme="1"/>
        <rFont val="Century Gothic"/>
        <family val="2"/>
      </rPr>
      <t>Breeze Keller</t>
    </r>
    <r>
      <rPr>
        <sz val="11"/>
        <color theme="1"/>
        <rFont val="Century Gothic"/>
        <family val="2"/>
      </rPr>
      <t>, Northeast and Southeast</t>
    </r>
  </si>
  <si>
    <t>kcro@marlincapitalsolutions.com</t>
  </si>
  <si>
    <t>breezekeller@marlincapitalsolutions.com</t>
  </si>
  <si>
    <r>
      <t>*Credit &amp; equipment restrictions apply.  This program does not assume your company will qualify to take advantage of the IRS Section #179 depreciation schedule which allows rapid first year depreciation of certain assets acquired. The amount of previous depreciation your company may have used may affect your ability to utilize the elections</t>
    </r>
    <r>
      <rPr>
        <b/>
        <sz val="7.5"/>
        <color theme="1"/>
        <rFont val="Century Gothic"/>
        <family val="2"/>
      </rPr>
      <t>. This calculation is not tax advice</t>
    </r>
    <r>
      <rPr>
        <sz val="7.5"/>
        <color theme="1"/>
        <rFont val="Century Gothic"/>
        <family val="2"/>
      </rPr>
      <t xml:space="preserve">, it is a potential tax scenario based on assumptions that may not apply to your business.  Please consult your tax advisor to determine the actual tax treatment in acquiring this equipment for your business. Equipment must be purchased and placed in service by 12/31/2019.
</t>
    </r>
  </si>
  <si>
    <t>Payments are excluding applicable taxes (if any). Rates good through 9/30/2018</t>
  </si>
  <si>
    <t>ABC Dental Practice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</si>
</sst>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00"/>
    <numFmt numFmtId="165" formatCode="0.0%"/>
    <numFmt numFmtId="166" formatCode="&quot;$&quot;#,##0"/>
    <numFmt numFmtId="167" formatCode="#,##0.00000"/>
    <numFmt numFmtId="168" formatCode="0.00000%"/>
  </numFmts>
  <fonts count="42" x14ac:knownFonts="1">
    <font>
      <sz val="11"/>
      <color theme="1"/>
      <name val="Calibri"/>
      <family val="2"/>
      <scheme val="minor"/>
    </font>
    <font>
      <sz val="10"/>
      <name val="Arial"/>
      <family val="2"/>
    </font>
    <font>
      <b/>
      <sz val="11"/>
      <color theme="1"/>
      <name val="Century Gothic"/>
      <family val="2"/>
    </font>
    <font>
      <sz val="11"/>
      <color theme="1"/>
      <name val="Century Gothic"/>
      <family val="2"/>
    </font>
    <font>
      <b/>
      <sz val="11"/>
      <color theme="0"/>
      <name val="Century Gothic"/>
      <family val="2"/>
    </font>
    <font>
      <sz val="8"/>
      <color theme="1"/>
      <name val="Century Gothic"/>
      <family val="2"/>
    </font>
    <font>
      <i/>
      <sz val="8"/>
      <color theme="1"/>
      <name val="Century Gothic"/>
      <family val="2"/>
    </font>
    <font>
      <sz val="7.5"/>
      <color theme="1"/>
      <name val="Century Gothic"/>
      <family val="2"/>
    </font>
    <font>
      <b/>
      <sz val="11"/>
      <color rgb="FF0070C0"/>
      <name val="Century Gothic"/>
      <family val="2"/>
    </font>
    <font>
      <sz val="11"/>
      <color theme="0"/>
      <name val="Century Gothic"/>
      <family val="2"/>
    </font>
    <font>
      <b/>
      <sz val="14"/>
      <color theme="1"/>
      <name val="Century Gothic"/>
      <family val="2"/>
    </font>
    <font>
      <sz val="11"/>
      <color rgb="FFFF0000"/>
      <name val="Century Gothic"/>
      <family val="2"/>
    </font>
    <font>
      <sz val="8"/>
      <color rgb="FFFF0000"/>
      <name val="Century Gothic"/>
      <family val="2"/>
    </font>
    <font>
      <b/>
      <i/>
      <sz val="14"/>
      <color theme="1"/>
      <name val="Century Gothic"/>
      <family val="2"/>
    </font>
    <font>
      <sz val="11"/>
      <color theme="3"/>
      <name val="Century Gothic"/>
      <family val="2"/>
    </font>
    <font>
      <sz val="9.5"/>
      <color theme="1"/>
      <name val="Century Gothic"/>
      <family val="2"/>
    </font>
    <font>
      <sz val="9"/>
      <color theme="1"/>
      <name val="Century Gothic"/>
      <family val="2"/>
    </font>
    <font>
      <sz val="22"/>
      <color theme="1"/>
      <name val="Calibri"/>
      <family val="2"/>
      <scheme val="minor"/>
    </font>
    <font>
      <sz val="26"/>
      <color theme="3"/>
      <name val="Century Gothic"/>
      <family val="2"/>
    </font>
    <font>
      <sz val="18"/>
      <color theme="1"/>
      <name val="Calibri"/>
      <family val="2"/>
      <scheme val="minor"/>
    </font>
    <font>
      <b/>
      <i/>
      <sz val="11"/>
      <color theme="1"/>
      <name val="Century Gothic"/>
      <family val="2"/>
    </font>
    <font>
      <b/>
      <sz val="13"/>
      <color theme="1"/>
      <name val="Century Gothic"/>
      <family val="2"/>
    </font>
    <font>
      <sz val="11"/>
      <color theme="1"/>
      <name val="Calibri"/>
      <family val="2"/>
      <scheme val="minor"/>
    </font>
    <font>
      <b/>
      <sz val="11"/>
      <color indexed="9"/>
      <name val="Arial"/>
      <family val="2"/>
    </font>
    <font>
      <sz val="11"/>
      <name val="Arial"/>
      <family val="2"/>
    </font>
    <font>
      <b/>
      <sz val="11"/>
      <name val="Arial"/>
      <family val="2"/>
    </font>
    <font>
      <b/>
      <sz val="10"/>
      <name val="Arial"/>
      <family val="2"/>
    </font>
    <font>
      <i/>
      <sz val="10"/>
      <color theme="1"/>
      <name val="Century Gothic"/>
      <family val="2"/>
    </font>
    <font>
      <b/>
      <sz val="7.5"/>
      <color theme="1"/>
      <name val="Century Gothic"/>
      <family val="2"/>
    </font>
    <font>
      <sz val="12"/>
      <color theme="1"/>
      <name val="Century Gothic"/>
      <family val="2"/>
    </font>
    <font>
      <b/>
      <sz val="16"/>
      <color theme="0"/>
      <name val="Century Gothic"/>
      <family val="2"/>
    </font>
    <font>
      <sz val="16"/>
      <color theme="1"/>
      <name val="Century Gothic"/>
      <family val="2"/>
    </font>
    <font>
      <b/>
      <sz val="14"/>
      <color theme="6" tint="-0.249977111117893"/>
      <name val="Century Gothic"/>
      <family val="2"/>
    </font>
    <font>
      <b/>
      <sz val="22"/>
      <color theme="1"/>
      <name val="Calibri"/>
      <family val="2"/>
      <scheme val="minor"/>
    </font>
    <font>
      <b/>
      <sz val="16"/>
      <color theme="1"/>
      <name val="Century Gothic"/>
      <family val="2"/>
    </font>
    <font>
      <i/>
      <sz val="12"/>
      <color theme="1"/>
      <name val="Century Gothic"/>
      <family val="2"/>
    </font>
    <font>
      <b/>
      <sz val="16"/>
      <color theme="1"/>
      <name val="Calibri"/>
      <family val="2"/>
      <scheme val="minor"/>
    </font>
    <font>
      <sz val="14"/>
      <color theme="1"/>
      <name val="Century Gothic"/>
      <family val="2"/>
    </font>
    <font>
      <i/>
      <sz val="11"/>
      <color theme="1"/>
      <name val="Century Gothic"/>
      <family val="2"/>
    </font>
    <font>
      <sz val="7"/>
      <color theme="1"/>
      <name val="Century Gothic"/>
      <family val="2"/>
    </font>
    <font>
      <u/>
      <sz val="11"/>
      <color theme="10"/>
      <name val="Calibri"/>
      <family val="2"/>
      <scheme val="minor"/>
    </font>
    <font>
      <sz val="11"/>
      <color theme="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theme="0" tint="-0.14999847407452621"/>
        <bgColor indexed="64"/>
      </patternFill>
    </fill>
    <fill>
      <patternFill patternType="solid">
        <fgColor theme="3"/>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1" fillId="0" borderId="0"/>
    <xf numFmtId="44" fontId="1"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40" fillId="0" borderId="0" applyNumberFormat="0" applyFill="0" applyBorder="0" applyAlignment="0" applyProtection="0"/>
  </cellStyleXfs>
  <cellXfs count="166">
    <xf numFmtId="0" fontId="0" fillId="0" borderId="0" xfId="0"/>
    <xf numFmtId="0" fontId="0" fillId="0" borderId="0" xfId="0" applyProtection="1">
      <protection hidden="1"/>
    </xf>
    <xf numFmtId="15" fontId="2" fillId="0" borderId="0" xfId="0" applyNumberFormat="1" applyFont="1" applyAlignment="1" applyProtection="1">
      <alignment horizontal="left"/>
      <protection hidden="1"/>
    </xf>
    <xf numFmtId="0" fontId="8" fillId="0" borderId="0" xfId="0"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3" fillId="0" borderId="0" xfId="0" applyFont="1" applyAlignment="1" applyProtection="1">
      <alignment horizontal="left"/>
      <protection hidden="1"/>
    </xf>
    <xf numFmtId="0" fontId="2" fillId="0" borderId="0" xfId="0" applyFont="1" applyProtection="1">
      <protection hidden="1"/>
    </xf>
    <xf numFmtId="164" fontId="3" fillId="0" borderId="0" xfId="0" applyNumberFormat="1" applyFont="1" applyAlignment="1" applyProtection="1">
      <alignment horizontal="left"/>
      <protection hidden="1"/>
    </xf>
    <xf numFmtId="0" fontId="4" fillId="2" borderId="1" xfId="0" applyFont="1" applyFill="1" applyBorder="1" applyAlignment="1" applyProtection="1">
      <alignment horizontal="center"/>
      <protection hidden="1"/>
    </xf>
    <xf numFmtId="15" fontId="4" fillId="0" borderId="0" xfId="0" applyNumberFormat="1" applyFont="1" applyAlignment="1" applyProtection="1">
      <alignment horizontal="left"/>
      <protection hidden="1"/>
    </xf>
    <xf numFmtId="0" fontId="10" fillId="0" borderId="0" xfId="0" applyFont="1" applyProtection="1">
      <protection hidden="1"/>
    </xf>
    <xf numFmtId="0" fontId="6" fillId="0" borderId="0" xfId="0" applyFont="1" applyProtection="1">
      <protection hidden="1"/>
    </xf>
    <xf numFmtId="0" fontId="5" fillId="0" borderId="0" xfId="0" applyFont="1" applyProtection="1">
      <protection hidden="1"/>
    </xf>
    <xf numFmtId="0" fontId="11" fillId="0" borderId="0" xfId="0" applyFont="1" applyProtection="1">
      <protection hidden="1"/>
    </xf>
    <xf numFmtId="0" fontId="12" fillId="0" borderId="0" xfId="0" applyFont="1" applyProtection="1">
      <protection hidden="1"/>
    </xf>
    <xf numFmtId="0" fontId="13" fillId="0" borderId="0" xfId="0" applyFont="1" applyProtection="1">
      <protection hidden="1"/>
    </xf>
    <xf numFmtId="10" fontId="3" fillId="0" borderId="0" xfId="0" applyNumberFormat="1" applyFont="1" applyProtection="1">
      <protection hidden="1"/>
    </xf>
    <xf numFmtId="0" fontId="3" fillId="0" borderId="0" xfId="0" applyFont="1"/>
    <xf numFmtId="0" fontId="3" fillId="0" borderId="0" xfId="0" applyFont="1" applyFill="1"/>
    <xf numFmtId="0" fontId="7" fillId="0" borderId="0" xfId="0" applyFont="1"/>
    <xf numFmtId="0" fontId="2" fillId="0" borderId="0" xfId="0" applyFont="1"/>
    <xf numFmtId="0" fontId="14" fillId="0" borderId="0" xfId="0" applyFont="1"/>
    <xf numFmtId="0" fontId="15" fillId="0" borderId="0" xfId="0" applyFont="1" applyProtection="1">
      <protection hidden="1"/>
    </xf>
    <xf numFmtId="0" fontId="16" fillId="0" borderId="0" xfId="0" applyFont="1" applyProtection="1">
      <protection hidden="1"/>
    </xf>
    <xf numFmtId="0" fontId="17" fillId="0" borderId="0" xfId="0" applyFont="1"/>
    <xf numFmtId="164" fontId="9" fillId="0" borderId="0" xfId="0" applyNumberFormat="1" applyFont="1" applyProtection="1">
      <protection hidden="1"/>
    </xf>
    <xf numFmtId="10" fontId="11" fillId="0" borderId="0" xfId="0" applyNumberFormat="1" applyFont="1" applyProtection="1">
      <protection hidden="1"/>
    </xf>
    <xf numFmtId="0" fontId="11" fillId="0" borderId="0" xfId="0" applyFont="1" applyFill="1" applyBorder="1" applyProtection="1">
      <protection hidden="1"/>
    </xf>
    <xf numFmtId="165" fontId="11" fillId="0" borderId="0" xfId="0" applyNumberFormat="1" applyFont="1" applyFill="1" applyBorder="1" applyProtection="1">
      <protection hidden="1"/>
    </xf>
    <xf numFmtId="0" fontId="12" fillId="0" borderId="0" xfId="0" applyFont="1" applyFill="1" applyBorder="1" applyProtection="1">
      <protection hidden="1"/>
    </xf>
    <xf numFmtId="165" fontId="12" fillId="0" borderId="0" xfId="0" applyNumberFormat="1" applyFont="1" applyFill="1" applyBorder="1" applyProtection="1">
      <protection hidden="1"/>
    </xf>
    <xf numFmtId="0" fontId="18" fillId="0" borderId="0" xfId="0" applyFont="1" applyProtection="1">
      <protection locked="0" hidden="1"/>
    </xf>
    <xf numFmtId="0" fontId="19" fillId="0" borderId="0" xfId="0" applyFont="1"/>
    <xf numFmtId="6" fontId="20" fillId="0" borderId="2" xfId="0" applyNumberFormat="1" applyFont="1" applyBorder="1" applyAlignment="1" applyProtection="1">
      <alignment horizontal="center"/>
      <protection hidden="1"/>
    </xf>
    <xf numFmtId="6" fontId="10" fillId="0" borderId="0" xfId="0" applyNumberFormat="1" applyFont="1" applyFill="1" applyAlignment="1" applyProtection="1">
      <alignment horizontal="left"/>
      <protection hidden="1"/>
    </xf>
    <xf numFmtId="0" fontId="24" fillId="0" borderId="0" xfId="0" applyFont="1"/>
    <xf numFmtId="0" fontId="24" fillId="0" borderId="0" xfId="0" applyFont="1" applyAlignment="1">
      <alignment horizontal="center"/>
    </xf>
    <xf numFmtId="0" fontId="25" fillId="0" borderId="3" xfId="0" applyFont="1" applyBorder="1"/>
    <xf numFmtId="166" fontId="24" fillId="3" borderId="4" xfId="4" applyNumberFormat="1" applyFont="1" applyFill="1" applyBorder="1" applyAlignment="1">
      <alignment horizontal="center"/>
    </xf>
    <xf numFmtId="167" fontId="24" fillId="3" borderId="1" xfId="3" applyNumberFormat="1" applyFont="1" applyFill="1" applyBorder="1" applyAlignment="1">
      <alignment horizontal="center" vertical="center" wrapText="1"/>
    </xf>
    <xf numFmtId="0" fontId="25" fillId="0" borderId="5" xfId="0" applyFont="1" applyBorder="1"/>
    <xf numFmtId="166" fontId="24" fillId="3" borderId="1" xfId="4" applyNumberFormat="1" applyFont="1" applyFill="1" applyBorder="1" applyAlignment="1">
      <alignment horizontal="center"/>
    </xf>
    <xf numFmtId="0" fontId="24" fillId="0" borderId="6" xfId="0" applyFont="1" applyBorder="1"/>
    <xf numFmtId="166" fontId="24" fillId="4" borderId="1" xfId="4" applyNumberFormat="1" applyFont="1" applyFill="1" applyBorder="1" applyAlignment="1">
      <alignment horizontal="center"/>
    </xf>
    <xf numFmtId="0" fontId="0" fillId="0" borderId="0" xfId="0" applyAlignment="1">
      <alignment horizontal="center"/>
    </xf>
    <xf numFmtId="167" fontId="0" fillId="0" borderId="0" xfId="0" applyNumberFormat="1" applyAlignment="1">
      <alignment horizontal="center" vertical="center" wrapText="1"/>
    </xf>
    <xf numFmtId="167" fontId="0" fillId="0" borderId="0" xfId="0" applyNumberFormat="1" applyAlignment="1">
      <alignment horizontal="center" wrapText="1"/>
    </xf>
    <xf numFmtId="167" fontId="24" fillId="3" borderId="1" xfId="3" applyNumberFormat="1" applyFont="1" applyFill="1" applyBorder="1" applyAlignment="1">
      <alignment horizontal="center" wrapText="1"/>
    </xf>
    <xf numFmtId="0" fontId="0" fillId="0" borderId="5" xfId="0" applyBorder="1"/>
    <xf numFmtId="0" fontId="0" fillId="0" borderId="6" xfId="0" applyBorder="1"/>
    <xf numFmtId="6" fontId="20" fillId="0" borderId="0" xfId="0" applyNumberFormat="1" applyFont="1" applyBorder="1" applyAlignment="1" applyProtection="1">
      <alignment horizontal="left"/>
      <protection hidden="1"/>
    </xf>
    <xf numFmtId="6" fontId="2" fillId="0" borderId="2" xfId="0" applyNumberFormat="1" applyFont="1" applyBorder="1" applyAlignment="1" applyProtection="1">
      <alignment horizontal="center"/>
      <protection hidden="1"/>
    </xf>
    <xf numFmtId="0" fontId="7" fillId="0" borderId="0" xfId="0" applyFont="1" applyAlignment="1">
      <alignment horizontal="left" wrapText="1"/>
    </xf>
    <xf numFmtId="0" fontId="29" fillId="0" borderId="0" xfId="0" applyFont="1" applyAlignment="1">
      <alignment horizontal="center"/>
    </xf>
    <xf numFmtId="0" fontId="25" fillId="0" borderId="9" xfId="0" applyFont="1" applyBorder="1"/>
    <xf numFmtId="0" fontId="26" fillId="0" borderId="10" xfId="0" applyFont="1" applyBorder="1"/>
    <xf numFmtId="0" fontId="0" fillId="0" borderId="11" xfId="0" applyBorder="1"/>
    <xf numFmtId="0" fontId="23" fillId="2" borderId="1" xfId="0" applyFont="1" applyFill="1" applyBorder="1"/>
    <xf numFmtId="168" fontId="24" fillId="3" borderId="1" xfId="3" applyNumberFormat="1" applyFont="1" applyFill="1" applyBorder="1" applyAlignment="1">
      <alignment horizontal="center" vertical="center" wrapText="1"/>
    </xf>
    <xf numFmtId="168" fontId="24" fillId="3" borderId="1" xfId="3" applyNumberFormat="1" applyFont="1" applyFill="1" applyBorder="1" applyAlignment="1">
      <alignment horizontal="center" wrapText="1"/>
    </xf>
    <xf numFmtId="10" fontId="24" fillId="3" borderId="1" xfId="3" applyNumberFormat="1" applyFont="1" applyFill="1" applyBorder="1" applyAlignment="1">
      <alignment horizontal="center" vertical="center" wrapText="1"/>
    </xf>
    <xf numFmtId="10" fontId="24" fillId="4" borderId="1" xfId="0" applyNumberFormat="1" applyFont="1" applyFill="1" applyBorder="1" applyAlignment="1">
      <alignment horizontal="center" vertical="center" wrapText="1"/>
    </xf>
    <xf numFmtId="10" fontId="0" fillId="0" borderId="0" xfId="0" applyNumberFormat="1" applyAlignment="1">
      <alignment horizontal="center" vertical="center" wrapText="1"/>
    </xf>
    <xf numFmtId="10" fontId="0" fillId="0" borderId="0" xfId="0" applyNumberFormat="1" applyAlignment="1">
      <alignment horizontal="center" wrapText="1"/>
    </xf>
    <xf numFmtId="166" fontId="24" fillId="3" borderId="13" xfId="4" applyNumberFormat="1" applyFont="1" applyFill="1" applyBorder="1" applyAlignment="1">
      <alignment horizontal="center"/>
    </xf>
    <xf numFmtId="167" fontId="24" fillId="3" borderId="14" xfId="3" applyNumberFormat="1" applyFont="1" applyFill="1" applyBorder="1" applyAlignment="1">
      <alignment horizontal="center" vertical="center" wrapText="1"/>
    </xf>
    <xf numFmtId="167" fontId="24" fillId="3" borderId="15" xfId="3" applyNumberFormat="1" applyFont="1" applyFill="1" applyBorder="1" applyAlignment="1">
      <alignment horizontal="center" vertical="center" wrapText="1"/>
    </xf>
    <xf numFmtId="167" fontId="24" fillId="3" borderId="17" xfId="3" applyNumberFormat="1" applyFont="1" applyFill="1" applyBorder="1" applyAlignment="1">
      <alignment horizontal="center" vertical="center" wrapText="1"/>
    </xf>
    <xf numFmtId="166" fontId="24" fillId="4" borderId="19" xfId="4" applyNumberFormat="1" applyFont="1" applyFill="1" applyBorder="1" applyAlignment="1">
      <alignment horizontal="center"/>
    </xf>
    <xf numFmtId="167" fontId="24" fillId="3" borderId="19" xfId="3" applyNumberFormat="1" applyFont="1" applyFill="1" applyBorder="1" applyAlignment="1">
      <alignment horizontal="center" vertical="center" wrapText="1"/>
    </xf>
    <xf numFmtId="167" fontId="24" fillId="3" borderId="20" xfId="3" applyNumberFormat="1" applyFont="1" applyFill="1" applyBorder="1" applyAlignment="1">
      <alignment horizontal="center" vertical="center" wrapText="1"/>
    </xf>
    <xf numFmtId="166" fontId="24" fillId="3" borderId="19" xfId="4" applyNumberFormat="1" applyFont="1" applyFill="1" applyBorder="1" applyAlignment="1">
      <alignment horizontal="center"/>
    </xf>
    <xf numFmtId="0" fontId="4" fillId="2" borderId="5" xfId="0" applyFont="1" applyFill="1" applyBorder="1" applyAlignment="1" applyProtection="1">
      <alignment horizontal="center"/>
      <protection hidden="1"/>
    </xf>
    <xf numFmtId="166" fontId="24" fillId="3" borderId="21" xfId="4" applyNumberFormat="1" applyFont="1" applyFill="1" applyBorder="1" applyAlignment="1">
      <alignment horizontal="center"/>
    </xf>
    <xf numFmtId="167" fontId="24" fillId="3" borderId="17" xfId="3" applyNumberFormat="1" applyFont="1" applyFill="1" applyBorder="1" applyAlignment="1">
      <alignment horizontal="center" wrapText="1"/>
    </xf>
    <xf numFmtId="166" fontId="24" fillId="3" borderId="22" xfId="4" applyNumberFormat="1" applyFont="1" applyFill="1" applyBorder="1" applyAlignment="1">
      <alignment horizontal="center"/>
    </xf>
    <xf numFmtId="167" fontId="24" fillId="3" borderId="19" xfId="3" applyNumberFormat="1" applyFont="1" applyFill="1" applyBorder="1" applyAlignment="1">
      <alignment horizontal="center" wrapText="1"/>
    </xf>
    <xf numFmtId="167" fontId="24" fillId="3" borderId="20" xfId="3" applyNumberFormat="1" applyFont="1" applyFill="1" applyBorder="1" applyAlignment="1">
      <alignment horizontal="center" wrapText="1"/>
    </xf>
    <xf numFmtId="0" fontId="7" fillId="0" borderId="0" xfId="0" applyFont="1" applyAlignment="1">
      <alignment horizontal="left" wrapText="1"/>
    </xf>
    <xf numFmtId="6" fontId="2" fillId="0" borderId="0" xfId="0" applyNumberFormat="1" applyFont="1" applyBorder="1" applyAlignment="1" applyProtection="1">
      <alignment horizontal="center"/>
      <protection hidden="1"/>
    </xf>
    <xf numFmtId="0" fontId="11" fillId="0" borderId="0" xfId="0" applyFont="1" applyFill="1" applyBorder="1" applyAlignment="1" applyProtection="1">
      <alignment wrapText="1"/>
      <protection hidden="1"/>
    </xf>
    <xf numFmtId="0" fontId="23" fillId="2" borderId="1" xfId="0" applyFont="1" applyFill="1" applyBorder="1" applyAlignment="1">
      <alignment wrapText="1"/>
    </xf>
    <xf numFmtId="0" fontId="24" fillId="0" borderId="0" xfId="0" applyFont="1" applyAlignment="1">
      <alignment wrapText="1"/>
    </xf>
    <xf numFmtId="0" fontId="25" fillId="0" borderId="12" xfId="0" applyFont="1" applyBorder="1" applyAlignment="1">
      <alignment wrapText="1"/>
    </xf>
    <xf numFmtId="0" fontId="25" fillId="0" borderId="16" xfId="0" applyFont="1" applyBorder="1" applyAlignment="1">
      <alignment wrapText="1"/>
    </xf>
    <xf numFmtId="0" fontId="24" fillId="0" borderId="18" xfId="0" applyFont="1" applyBorder="1" applyAlignment="1">
      <alignment wrapText="1"/>
    </xf>
    <xf numFmtId="0" fontId="0" fillId="0" borderId="0" xfId="0" applyAlignment="1">
      <alignment wrapText="1"/>
    </xf>
    <xf numFmtId="0" fontId="25" fillId="0" borderId="9" xfId="0" applyFont="1" applyBorder="1" applyAlignment="1">
      <alignment wrapText="1"/>
    </xf>
    <xf numFmtId="0" fontId="12" fillId="0" borderId="0" xfId="0" applyFont="1" applyFill="1" applyBorder="1" applyAlignment="1" applyProtection="1">
      <alignment wrapText="1"/>
      <protection hidden="1"/>
    </xf>
    <xf numFmtId="0" fontId="3" fillId="4" borderId="0" xfId="0" applyFont="1" applyFill="1"/>
    <xf numFmtId="0" fontId="3" fillId="4" borderId="0" xfId="0" applyFont="1" applyFill="1" applyBorder="1"/>
    <xf numFmtId="0" fontId="3" fillId="4" borderId="0" xfId="0" applyFont="1" applyFill="1" applyBorder="1" applyAlignment="1">
      <alignment horizontal="center"/>
    </xf>
    <xf numFmtId="0" fontId="4" fillId="5" borderId="1" xfId="0" applyFont="1" applyFill="1" applyBorder="1" applyAlignment="1" applyProtection="1">
      <alignment horizontal="center"/>
      <protection hidden="1"/>
    </xf>
    <xf numFmtId="164" fontId="3" fillId="4" borderId="1" xfId="0" applyNumberFormat="1" applyFont="1" applyFill="1" applyBorder="1" applyAlignment="1" applyProtection="1">
      <alignment horizontal="center"/>
      <protection hidden="1"/>
    </xf>
    <xf numFmtId="14" fontId="9" fillId="0" borderId="0" xfId="0" applyNumberFormat="1" applyFont="1" applyProtection="1">
      <protection hidden="1"/>
    </xf>
    <xf numFmtId="6" fontId="20" fillId="0" borderId="0" xfId="0" applyNumberFormat="1" applyFont="1" applyBorder="1" applyAlignment="1" applyProtection="1">
      <alignment horizontal="center"/>
      <protection hidden="1"/>
    </xf>
    <xf numFmtId="0" fontId="7" fillId="0" borderId="0" xfId="0" applyFont="1" applyAlignment="1">
      <alignment horizontal="left" wrapText="1"/>
    </xf>
    <xf numFmtId="0" fontId="33" fillId="0" borderId="0" xfId="0" applyFont="1"/>
    <xf numFmtId="164" fontId="3" fillId="7" borderId="0" xfId="0" applyNumberFormat="1" applyFont="1" applyFill="1" applyBorder="1" applyAlignment="1" applyProtection="1">
      <alignment horizontal="center"/>
      <protection hidden="1"/>
    </xf>
    <xf numFmtId="6" fontId="20" fillId="0" borderId="0" xfId="0" applyNumberFormat="1" applyFont="1" applyBorder="1" applyAlignment="1" applyProtection="1">
      <protection hidden="1"/>
    </xf>
    <xf numFmtId="10" fontId="3" fillId="4" borderId="1" xfId="0" applyNumberFormat="1" applyFont="1" applyFill="1" applyBorder="1" applyAlignment="1" applyProtection="1">
      <alignment horizontal="center"/>
      <protection hidden="1"/>
    </xf>
    <xf numFmtId="0" fontId="3" fillId="8" borderId="0" xfId="0" applyFont="1" applyFill="1" applyProtection="1">
      <protection hidden="1"/>
    </xf>
    <xf numFmtId="0" fontId="6" fillId="8" borderId="0" xfId="0" applyFont="1" applyFill="1" applyProtection="1">
      <protection hidden="1"/>
    </xf>
    <xf numFmtId="0" fontId="5" fillId="8" borderId="0" xfId="0" applyFont="1" applyFill="1" applyProtection="1">
      <protection hidden="1"/>
    </xf>
    <xf numFmtId="164" fontId="3" fillId="7" borderId="1" xfId="0" applyNumberFormat="1" applyFont="1" applyFill="1" applyBorder="1" applyAlignment="1" applyProtection="1">
      <alignment horizontal="center"/>
      <protection hidden="1"/>
    </xf>
    <xf numFmtId="0" fontId="29" fillId="0" borderId="0" xfId="0" applyFont="1"/>
    <xf numFmtId="0" fontId="29" fillId="8" borderId="0" xfId="0" applyFont="1" applyFill="1"/>
    <xf numFmtId="0" fontId="35" fillId="8" borderId="0" xfId="0" applyFont="1" applyFill="1"/>
    <xf numFmtId="0" fontId="29" fillId="8" borderId="0" xfId="0" applyFont="1" applyFill="1" applyAlignment="1">
      <alignment horizontal="left" wrapText="1"/>
    </xf>
    <xf numFmtId="0" fontId="36" fillId="0" borderId="0" xfId="0" applyFont="1"/>
    <xf numFmtId="0" fontId="3" fillId="0" borderId="0" xfId="0" applyFont="1" applyProtection="1">
      <protection locked="0"/>
    </xf>
    <xf numFmtId="164" fontId="3" fillId="0" borderId="0" xfId="0" applyNumberFormat="1" applyFont="1" applyAlignment="1" applyProtection="1">
      <alignment horizontal="left"/>
      <protection locked="0"/>
    </xf>
    <xf numFmtId="0" fontId="3" fillId="0" borderId="0" xfId="0" applyFont="1" applyAlignment="1" applyProtection="1">
      <alignment horizontal="left"/>
      <protection locked="0"/>
    </xf>
    <xf numFmtId="0" fontId="4" fillId="5" borderId="6" xfId="0" applyFont="1" applyFill="1" applyBorder="1" applyAlignment="1" applyProtection="1">
      <alignment horizontal="center"/>
      <protection hidden="1"/>
    </xf>
    <xf numFmtId="0" fontId="37" fillId="0" borderId="0" xfId="0" applyFont="1"/>
    <xf numFmtId="0" fontId="25" fillId="0" borderId="7" xfId="0" applyFont="1" applyBorder="1" applyAlignment="1">
      <alignment wrapText="1"/>
    </xf>
    <xf numFmtId="166" fontId="24" fillId="3" borderId="28" xfId="4" applyNumberFormat="1" applyFont="1" applyFill="1" applyBorder="1" applyAlignment="1">
      <alignment horizontal="center"/>
    </xf>
    <xf numFmtId="167" fontId="24" fillId="3" borderId="29" xfId="3" applyNumberFormat="1" applyFont="1" applyFill="1" applyBorder="1" applyAlignment="1">
      <alignment horizontal="center" vertical="center" wrapText="1"/>
    </xf>
    <xf numFmtId="167" fontId="24" fillId="3" borderId="30" xfId="3" applyNumberFormat="1" applyFont="1" applyFill="1" applyBorder="1" applyAlignment="1">
      <alignment horizontal="center" vertical="center" wrapText="1"/>
    </xf>
    <xf numFmtId="0" fontId="38" fillId="0" borderId="0" xfId="0" applyFont="1"/>
    <xf numFmtId="0" fontId="41" fillId="0" borderId="0" xfId="5" applyFont="1"/>
    <xf numFmtId="6" fontId="20" fillId="0" borderId="2" xfId="0" applyNumberFormat="1" applyFont="1" applyBorder="1" applyAlignment="1" applyProtection="1">
      <alignment horizontal="center"/>
      <protection hidden="1"/>
    </xf>
    <xf numFmtId="6" fontId="20" fillId="0" borderId="0" xfId="0" applyNumberFormat="1" applyFont="1" applyBorder="1" applyAlignment="1" applyProtection="1">
      <alignment horizontal="center"/>
      <protection hidden="1"/>
    </xf>
    <xf numFmtId="6" fontId="20" fillId="0" borderId="23" xfId="0" applyNumberFormat="1" applyFont="1" applyBorder="1" applyAlignment="1" applyProtection="1">
      <alignment horizontal="center"/>
      <protection hidden="1"/>
    </xf>
    <xf numFmtId="0" fontId="2" fillId="6" borderId="26" xfId="0" applyFont="1" applyFill="1" applyBorder="1" applyAlignment="1" applyProtection="1">
      <alignment horizontal="center"/>
      <protection locked="0" hidden="1"/>
    </xf>
    <xf numFmtId="0" fontId="2" fillId="6" borderId="1" xfId="0" applyFont="1" applyFill="1" applyBorder="1" applyAlignment="1" applyProtection="1">
      <alignment horizontal="center"/>
      <protection locked="0" hidden="1"/>
    </xf>
    <xf numFmtId="0" fontId="2" fillId="6" borderId="17" xfId="0" applyFont="1" applyFill="1" applyBorder="1" applyAlignment="1" applyProtection="1">
      <alignment horizontal="center"/>
      <protection locked="0" hidden="1"/>
    </xf>
    <xf numFmtId="6" fontId="2" fillId="0" borderId="2" xfId="0" applyNumberFormat="1" applyFont="1" applyBorder="1" applyAlignment="1" applyProtection="1">
      <alignment horizontal="center"/>
      <protection hidden="1"/>
    </xf>
    <xf numFmtId="0" fontId="3" fillId="0" borderId="8" xfId="0" applyFont="1" applyBorder="1" applyAlignment="1" applyProtection="1">
      <alignment horizontal="center"/>
      <protection hidden="1"/>
    </xf>
    <xf numFmtId="0" fontId="4" fillId="5" borderId="1" xfId="0" applyFont="1" applyFill="1" applyBorder="1" applyAlignment="1" applyProtection="1">
      <alignment horizontal="left"/>
      <protection hidden="1"/>
    </xf>
    <xf numFmtId="0" fontId="4" fillId="5" borderId="24" xfId="0" applyFont="1" applyFill="1" applyBorder="1" applyAlignment="1" applyProtection="1">
      <alignment horizontal="left"/>
      <protection hidden="1"/>
    </xf>
    <xf numFmtId="0" fontId="2" fillId="6" borderId="25" xfId="0" applyFont="1" applyFill="1" applyBorder="1" applyAlignment="1" applyProtection="1">
      <alignment horizontal="center"/>
      <protection locked="0" hidden="1"/>
    </xf>
    <xf numFmtId="0" fontId="2" fillId="6" borderId="14" xfId="0" applyFont="1" applyFill="1" applyBorder="1" applyAlignment="1" applyProtection="1">
      <alignment horizontal="center"/>
      <protection locked="0" hidden="1"/>
    </xf>
    <xf numFmtId="0" fontId="2" fillId="6" borderId="15" xfId="0" applyFont="1" applyFill="1" applyBorder="1" applyAlignment="1" applyProtection="1">
      <alignment horizontal="center"/>
      <protection locked="0" hidden="1"/>
    </xf>
    <xf numFmtId="0" fontId="2" fillId="6" borderId="27" xfId="0" applyFont="1" applyFill="1" applyBorder="1" applyAlignment="1" applyProtection="1">
      <alignment horizontal="center"/>
      <protection locked="0" hidden="1"/>
    </xf>
    <xf numFmtId="0" fontId="2" fillId="6" borderId="19" xfId="0" applyFont="1" applyFill="1" applyBorder="1" applyAlignment="1" applyProtection="1">
      <alignment horizontal="center"/>
      <protection locked="0" hidden="1"/>
    </xf>
    <xf numFmtId="0" fontId="2" fillId="6" borderId="20" xfId="0" applyFont="1" applyFill="1" applyBorder="1" applyAlignment="1" applyProtection="1">
      <alignment horizontal="center"/>
      <protection locked="0" hidden="1"/>
    </xf>
    <xf numFmtId="0" fontId="2" fillId="6" borderId="26" xfId="0" applyFont="1" applyFill="1" applyBorder="1" applyAlignment="1" applyProtection="1">
      <alignment horizontal="center" vertical="center"/>
      <protection locked="0" hidden="1"/>
    </xf>
    <xf numFmtId="0" fontId="2" fillId="6" borderId="1" xfId="0" applyFont="1" applyFill="1" applyBorder="1" applyAlignment="1" applyProtection="1">
      <alignment horizontal="center" vertical="center"/>
      <protection locked="0" hidden="1"/>
    </xf>
    <xf numFmtId="0" fontId="2" fillId="6" borderId="17" xfId="0" applyFont="1" applyFill="1" applyBorder="1" applyAlignment="1" applyProtection="1">
      <alignment horizontal="center" vertical="center"/>
      <protection locked="0" hidden="1"/>
    </xf>
    <xf numFmtId="164" fontId="2" fillId="6" borderId="26" xfId="0" applyNumberFormat="1" applyFont="1" applyFill="1" applyBorder="1" applyAlignment="1" applyProtection="1">
      <alignment horizontal="center"/>
      <protection locked="0" hidden="1"/>
    </xf>
    <xf numFmtId="164" fontId="2" fillId="6" borderId="1" xfId="0" applyNumberFormat="1" applyFont="1" applyFill="1" applyBorder="1" applyAlignment="1" applyProtection="1">
      <alignment horizontal="center"/>
      <protection locked="0" hidden="1"/>
    </xf>
    <xf numFmtId="164" fontId="2" fillId="6" borderId="17" xfId="0" applyNumberFormat="1" applyFont="1" applyFill="1" applyBorder="1" applyAlignment="1" applyProtection="1">
      <alignment horizontal="center"/>
      <protection locked="0" hidden="1"/>
    </xf>
    <xf numFmtId="0" fontId="26" fillId="0" borderId="10" xfId="0" applyFont="1" applyBorder="1" applyAlignment="1">
      <alignment horizontal="left" wrapText="1"/>
    </xf>
    <xf numFmtId="0" fontId="26" fillId="0" borderId="11" xfId="0" applyFont="1" applyBorder="1" applyAlignment="1">
      <alignment horizontal="left" wrapText="1"/>
    </xf>
    <xf numFmtId="0" fontId="34" fillId="8" borderId="0" xfId="0" applyFont="1" applyFill="1" applyAlignment="1" applyProtection="1">
      <alignment horizontal="center"/>
      <protection hidden="1"/>
    </xf>
    <xf numFmtId="6" fontId="13" fillId="8" borderId="0" xfId="0" applyNumberFormat="1" applyFont="1" applyFill="1" applyBorder="1" applyAlignment="1" applyProtection="1">
      <alignment horizontal="center"/>
      <protection hidden="1"/>
    </xf>
    <xf numFmtId="164" fontId="4" fillId="5" borderId="0" xfId="0" applyNumberFormat="1" applyFont="1" applyFill="1" applyBorder="1" applyAlignment="1">
      <alignment horizontal="center" vertical="center"/>
    </xf>
    <xf numFmtId="0" fontId="4" fillId="5" borderId="0" xfId="0" applyFont="1" applyFill="1" applyBorder="1" applyAlignment="1">
      <alignment horizontal="center" vertical="center"/>
    </xf>
    <xf numFmtId="0" fontId="7" fillId="4" borderId="0" xfId="0" applyFont="1" applyFill="1" applyBorder="1" applyAlignment="1">
      <alignment horizontal="left" vertical="top" wrapText="1"/>
    </xf>
    <xf numFmtId="0" fontId="3" fillId="0" borderId="0" xfId="0" applyFont="1" applyFill="1" applyAlignment="1">
      <alignment horizontal="center"/>
    </xf>
    <xf numFmtId="0" fontId="39" fillId="0" borderId="0" xfId="0" applyFont="1" applyAlignment="1">
      <alignment horizontal="left" vertical="top" wrapText="1"/>
    </xf>
    <xf numFmtId="0" fontId="21" fillId="4" borderId="0" xfId="0" applyFont="1" applyFill="1" applyBorder="1" applyAlignment="1">
      <alignment horizontal="center"/>
    </xf>
    <xf numFmtId="164"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6" fontId="3" fillId="4" borderId="2" xfId="0" applyNumberFormat="1" applyFont="1" applyFill="1" applyBorder="1" applyAlignment="1">
      <alignment horizontal="center"/>
    </xf>
    <xf numFmtId="0" fontId="3" fillId="4" borderId="2" xfId="0" applyFont="1" applyFill="1" applyBorder="1" applyAlignment="1">
      <alignment horizontal="center"/>
    </xf>
    <xf numFmtId="0" fontId="3" fillId="4" borderId="0" xfId="0" applyFont="1" applyFill="1" applyBorder="1" applyAlignment="1">
      <alignment horizontal="center" wrapText="1"/>
    </xf>
    <xf numFmtId="0" fontId="27" fillId="4" borderId="0" xfId="0" applyFont="1" applyFill="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30" fillId="5" borderId="24" xfId="0" applyFont="1" applyFill="1" applyBorder="1" applyAlignment="1" applyProtection="1">
      <alignment horizontal="center"/>
      <protection hidden="1"/>
    </xf>
    <xf numFmtId="0" fontId="30" fillId="5" borderId="4" xfId="0" applyFont="1" applyFill="1" applyBorder="1" applyAlignment="1" applyProtection="1">
      <alignment horizontal="center"/>
      <protection hidden="1"/>
    </xf>
    <xf numFmtId="164" fontId="31" fillId="4" borderId="24" xfId="0" applyNumberFormat="1" applyFont="1" applyFill="1" applyBorder="1" applyAlignment="1" applyProtection="1">
      <alignment horizontal="center"/>
      <protection hidden="1"/>
    </xf>
    <xf numFmtId="164" fontId="31" fillId="4" borderId="4" xfId="0" applyNumberFormat="1" applyFont="1" applyFill="1" applyBorder="1" applyAlignment="1" applyProtection="1">
      <alignment horizontal="center"/>
      <protection hidden="1"/>
    </xf>
  </cellXfs>
  <cellStyles count="6">
    <cellStyle name="Comma" xfId="3" builtinId="3"/>
    <cellStyle name="Currency" xfId="4" builtinId="4"/>
    <cellStyle name="Currency 2" xfId="2" xr:uid="{00000000-0005-0000-0000-000002000000}"/>
    <cellStyle name="Hyperlink" xfId="5" builtinId="8"/>
    <cellStyle name="Normal" xfId="0" builtinId="0"/>
    <cellStyle name="Normal 2" xfId="1"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jpeg"/><Relationship Id="rId1" Type="http://schemas.openxmlformats.org/officeDocument/2006/relationships/image" Target="../media/image4.png"/><Relationship Id="rId4" Type="http://schemas.openxmlformats.org/officeDocument/2006/relationships/image" Target="../media/image9.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0.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362869</xdr:colOff>
      <xdr:row>0</xdr:row>
      <xdr:rowOff>581024</xdr:rowOff>
    </xdr:to>
    <xdr:pic>
      <xdr:nvPicPr>
        <xdr:cNvPr id="4" name="Picture 3">
          <a:extLst>
            <a:ext uri="{FF2B5EF4-FFF2-40B4-BE49-F238E27FC236}">
              <a16:creationId xmlns:a16="http://schemas.microsoft.com/office/drawing/2014/main" id="{93149259-5DD7-4E35-949C-E8597BE502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86844" cy="58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642122</xdr:colOff>
      <xdr:row>4</xdr:row>
      <xdr:rowOff>219515</xdr:rowOff>
    </xdr:to>
    <xdr:pic>
      <xdr:nvPicPr>
        <xdr:cNvPr id="2" name="Picture 1">
          <a:extLst>
            <a:ext uri="{FF2B5EF4-FFF2-40B4-BE49-F238E27FC236}">
              <a16:creationId xmlns:a16="http://schemas.microsoft.com/office/drawing/2014/main" id="{9B4405FB-40C7-4C98-9CA8-61E07982FD28}"/>
            </a:ext>
          </a:extLst>
        </xdr:cNvPr>
        <xdr:cNvPicPr>
          <a:picLocks noChangeAspect="1"/>
        </xdr:cNvPicPr>
      </xdr:nvPicPr>
      <xdr:blipFill>
        <a:blip xmlns:r="http://schemas.openxmlformats.org/officeDocument/2006/relationships" r:embed="rId1"/>
        <a:stretch>
          <a:fillRect/>
        </a:stretch>
      </xdr:blipFill>
      <xdr:spPr>
        <a:xfrm>
          <a:off x="0" y="0"/>
          <a:ext cx="1585097" cy="676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601980</xdr:colOff>
      <xdr:row>2</xdr:row>
      <xdr:rowOff>140335</xdr:rowOff>
    </xdr:to>
    <xdr:pic>
      <xdr:nvPicPr>
        <xdr:cNvPr id="2" name="Picture 1" descr="signature_551841481">
          <a:extLst>
            <a:ext uri="{FF2B5EF4-FFF2-40B4-BE49-F238E27FC236}">
              <a16:creationId xmlns:a16="http://schemas.microsoft.com/office/drawing/2014/main" id="{D3F14C6F-EB01-4D81-92EC-9C7C081B9F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07055" cy="57848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20</xdr:row>
      <xdr:rowOff>66675</xdr:rowOff>
    </xdr:from>
    <xdr:to>
      <xdr:col>4</xdr:col>
      <xdr:colOff>895350</xdr:colOff>
      <xdr:row>38</xdr:row>
      <xdr:rowOff>19051</xdr:rowOff>
    </xdr:to>
    <xdr:pic>
      <xdr:nvPicPr>
        <xdr:cNvPr id="18" name="Picture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81525"/>
          <a:ext cx="4886325" cy="3209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123825</xdr:colOff>
      <xdr:row>1</xdr:row>
      <xdr:rowOff>180975</xdr:rowOff>
    </xdr:from>
    <xdr:to>
      <xdr:col>8</xdr:col>
      <xdr:colOff>6994</xdr:colOff>
      <xdr:row>11</xdr:row>
      <xdr:rowOff>180975</xdr:rowOff>
    </xdr:to>
    <xdr:pic>
      <xdr:nvPicPr>
        <xdr:cNvPr id="9" name="Picture 8">
          <a:extLst>
            <a:ext uri="{FF2B5EF4-FFF2-40B4-BE49-F238E27FC236}">
              <a16:creationId xmlns:a16="http://schemas.microsoft.com/office/drawing/2014/main" id="{89894B04-F8C8-4D71-89D4-E7F69D9E5F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62650" y="409575"/>
          <a:ext cx="1283344"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0</xdr:row>
      <xdr:rowOff>200026</xdr:rowOff>
    </xdr:from>
    <xdr:to>
      <xdr:col>1</xdr:col>
      <xdr:colOff>591469</xdr:colOff>
      <xdr:row>1</xdr:row>
      <xdr:rowOff>552450</xdr:rowOff>
    </xdr:to>
    <xdr:pic>
      <xdr:nvPicPr>
        <xdr:cNvPr id="10" name="Picture 9">
          <a:extLst>
            <a:ext uri="{FF2B5EF4-FFF2-40B4-BE49-F238E27FC236}">
              <a16:creationId xmlns:a16="http://schemas.microsoft.com/office/drawing/2014/main" id="{60EAA4EF-6890-42CE-8533-96A54C85B05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5" y="200026"/>
          <a:ext cx="1686844" cy="5810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17</xdr:row>
      <xdr:rowOff>66675</xdr:rowOff>
    </xdr:from>
    <xdr:to>
      <xdr:col>5</xdr:col>
      <xdr:colOff>19050</xdr:colOff>
      <xdr:row>35</xdr:row>
      <xdr:rowOff>19051</xdr:rowOff>
    </xdr:to>
    <xdr:pic>
      <xdr:nvPicPr>
        <xdr:cNvPr id="2" name="Picture 1">
          <a:extLst>
            <a:ext uri="{FF2B5EF4-FFF2-40B4-BE49-F238E27FC236}">
              <a16:creationId xmlns:a16="http://schemas.microsoft.com/office/drawing/2014/main" id="{86EB9814-FA7F-45A0-96FC-5AF17E22B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6225"/>
          <a:ext cx="4933950" cy="3209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0</xdr:rowOff>
    </xdr:from>
    <xdr:to>
      <xdr:col>2</xdr:col>
      <xdr:colOff>28575</xdr:colOff>
      <xdr:row>1</xdr:row>
      <xdr:rowOff>678557</xdr:rowOff>
    </xdr:to>
    <xdr:pic>
      <xdr:nvPicPr>
        <xdr:cNvPr id="4" name="Picture 3" descr="https://www.filepicker.io/api/file/AEdDp85mTkqbZPc0Ipv8">
          <a:extLst>
            <a:ext uri="{FF2B5EF4-FFF2-40B4-BE49-F238E27FC236}">
              <a16:creationId xmlns:a16="http://schemas.microsoft.com/office/drawing/2014/main" id="{9B97E14C-ACF7-4E1F-97C3-962183D189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0"/>
          <a:ext cx="2124075" cy="907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381000</xdr:colOff>
      <xdr:row>0</xdr:row>
      <xdr:rowOff>152400</xdr:rowOff>
    </xdr:from>
    <xdr:to>
      <xdr:col>6</xdr:col>
      <xdr:colOff>740419</xdr:colOff>
      <xdr:row>10</xdr:row>
      <xdr:rowOff>95250</xdr:rowOff>
    </xdr:to>
    <xdr:pic>
      <xdr:nvPicPr>
        <xdr:cNvPr id="5" name="Picture 4">
          <a:extLst>
            <a:ext uri="{FF2B5EF4-FFF2-40B4-BE49-F238E27FC236}">
              <a16:creationId xmlns:a16="http://schemas.microsoft.com/office/drawing/2014/main" id="{6A22792E-A485-4333-8C47-68F62423F79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95900" y="152400"/>
          <a:ext cx="1283344"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19</xdr:row>
      <xdr:rowOff>247649</xdr:rowOff>
    </xdr:from>
    <xdr:to>
      <xdr:col>4</xdr:col>
      <xdr:colOff>942975</xdr:colOff>
      <xdr:row>36</xdr:row>
      <xdr:rowOff>133350</xdr:rowOff>
    </xdr:to>
    <xdr:pic>
      <xdr:nvPicPr>
        <xdr:cNvPr id="2" name="Picture 1">
          <a:extLst>
            <a:ext uri="{FF2B5EF4-FFF2-40B4-BE49-F238E27FC236}">
              <a16:creationId xmlns:a16="http://schemas.microsoft.com/office/drawing/2014/main" id="{AE806CCC-2160-4BA3-8FA6-05E27FBB9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38599"/>
          <a:ext cx="4933950" cy="2943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819150</xdr:colOff>
      <xdr:row>1</xdr:row>
      <xdr:rowOff>19050</xdr:rowOff>
    </xdr:from>
    <xdr:to>
      <xdr:col>6</xdr:col>
      <xdr:colOff>1009650</xdr:colOff>
      <xdr:row>9</xdr:row>
      <xdr:rowOff>68436</xdr:rowOff>
    </xdr:to>
    <xdr:pic>
      <xdr:nvPicPr>
        <xdr:cNvPr id="6" name="Picture 5">
          <a:extLst>
            <a:ext uri="{FF2B5EF4-FFF2-40B4-BE49-F238E27FC236}">
              <a16:creationId xmlns:a16="http://schemas.microsoft.com/office/drawing/2014/main" id="{6DB7910F-D97F-4027-A7E4-A7BC00FCF5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67400" y="247650"/>
          <a:ext cx="1114425" cy="2344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904875</xdr:colOff>
      <xdr:row>1</xdr:row>
      <xdr:rowOff>678557</xdr:rowOff>
    </xdr:to>
    <xdr:pic>
      <xdr:nvPicPr>
        <xdr:cNvPr id="7" name="Picture 6" descr="https://www.filepicker.io/api/file/AEdDp85mTkqbZPc0Ipv8">
          <a:extLst>
            <a:ext uri="{FF2B5EF4-FFF2-40B4-BE49-F238E27FC236}">
              <a16:creationId xmlns:a16="http://schemas.microsoft.com/office/drawing/2014/main" id="{38A51DAB-A9CF-4365-B1A2-299A4CA6C5D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124075" cy="907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914400</xdr:colOff>
      <xdr:row>0</xdr:row>
      <xdr:rowOff>95251</xdr:rowOff>
    </xdr:from>
    <xdr:to>
      <xdr:col>5</xdr:col>
      <xdr:colOff>742950</xdr:colOff>
      <xdr:row>3</xdr:row>
      <xdr:rowOff>10237</xdr:rowOff>
    </xdr:to>
    <xdr:pic>
      <xdr:nvPicPr>
        <xdr:cNvPr id="8" name="Picture 7">
          <a:extLst>
            <a:ext uri="{FF2B5EF4-FFF2-40B4-BE49-F238E27FC236}">
              <a16:creationId xmlns:a16="http://schemas.microsoft.com/office/drawing/2014/main" id="{30317A6F-670B-4B06-BBE3-582E661F0E9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57525" y="95251"/>
          <a:ext cx="2733675" cy="1210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17</xdr:row>
      <xdr:rowOff>9525</xdr:rowOff>
    </xdr:from>
    <xdr:to>
      <xdr:col>4</xdr:col>
      <xdr:colOff>876300</xdr:colOff>
      <xdr:row>34</xdr:row>
      <xdr:rowOff>238126</xdr:rowOff>
    </xdr:to>
    <xdr:pic>
      <xdr:nvPicPr>
        <xdr:cNvPr id="2" name="Picture 1">
          <a:extLst>
            <a:ext uri="{FF2B5EF4-FFF2-40B4-BE49-F238E27FC236}">
              <a16:creationId xmlns:a16="http://schemas.microsoft.com/office/drawing/2014/main" id="{598E4007-667E-4D4C-8E5E-BDB2F6140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29075"/>
          <a:ext cx="4867275" cy="3209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609601</xdr:colOff>
      <xdr:row>0</xdr:row>
      <xdr:rowOff>123825</xdr:rowOff>
    </xdr:from>
    <xdr:to>
      <xdr:col>7</xdr:col>
      <xdr:colOff>19051</xdr:colOff>
      <xdr:row>6</xdr:row>
      <xdr:rowOff>173758</xdr:rowOff>
    </xdr:to>
    <xdr:pic>
      <xdr:nvPicPr>
        <xdr:cNvPr id="8" name="Picture 7">
          <a:extLst>
            <a:ext uri="{FF2B5EF4-FFF2-40B4-BE49-F238E27FC236}">
              <a16:creationId xmlns:a16="http://schemas.microsoft.com/office/drawing/2014/main" id="{2CFDBA3C-08FB-443D-BFFA-282B9FD19F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00576" y="123825"/>
          <a:ext cx="2457450" cy="187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104775</xdr:rowOff>
    </xdr:from>
    <xdr:to>
      <xdr:col>1</xdr:col>
      <xdr:colOff>467644</xdr:colOff>
      <xdr:row>1</xdr:row>
      <xdr:rowOff>457199</xdr:rowOff>
    </xdr:to>
    <xdr:pic>
      <xdr:nvPicPr>
        <xdr:cNvPr id="5" name="Picture 4">
          <a:extLst>
            <a:ext uri="{FF2B5EF4-FFF2-40B4-BE49-F238E27FC236}">
              <a16:creationId xmlns:a16="http://schemas.microsoft.com/office/drawing/2014/main" id="{27106751-D625-44AE-8373-3451BEBC367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04775"/>
          <a:ext cx="1686844" cy="5810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BIOL\Biolase%20Financial%20-%20Q3%20&amp;%20Q4%20Ide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McMahon\AppData\Roaming\Microsoft\Excel\Biolase%20Financial%20-%20Q3%20&amp;%20Q4%20Ideas%20(version%2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Quoting Worksheet"/>
      <sheetName val="Interest Buydown Modeling"/>
      <sheetName val="6 Mos SAC Worksheet"/>
      <sheetName val="Interest Buydown Worksheet"/>
      <sheetName val="Trade-in Promotion Calculator"/>
      <sheetName val="6 Mos. Same as Cash"/>
    </sheetNames>
    <sheetDataSet>
      <sheetData sheetId="0"/>
      <sheetData sheetId="1">
        <row r="9">
          <cell r="B9">
            <v>0.12</v>
          </cell>
        </row>
      </sheetData>
      <sheetData sheetId="2"/>
      <sheetData sheetId="3"/>
      <sheetData sheetId="4">
        <row r="10">
          <cell r="B10">
            <v>88000</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Quoting Worksheet"/>
      <sheetName val="Interest Buydown Modeling"/>
      <sheetName val="6 Mos SAC Worksheet"/>
      <sheetName val="Interest Buydown Worksheet"/>
      <sheetName val="Trade-in Promotion Calculator"/>
      <sheetName val="6 Mos. Same as Cash"/>
    </sheetNames>
    <sheetDataSet>
      <sheetData sheetId="0">
        <row r="4">
          <cell r="B4"/>
        </row>
        <row r="14">
          <cell r="B14">
            <v>2637.0438630046956</v>
          </cell>
          <cell r="C14">
            <v>2026.1792273796502</v>
          </cell>
          <cell r="D14">
            <v>1660.2654241268476</v>
          </cell>
          <cell r="E14">
            <v>1427.0515656992757</v>
          </cell>
          <cell r="F14">
            <v>1253.7321186419586</v>
          </cell>
        </row>
        <row r="15">
          <cell r="B15">
            <v>2670.0988240487964</v>
          </cell>
          <cell r="C15">
            <v>2053.9801858705314</v>
          </cell>
          <cell r="D15">
            <v>1684.9816115580638</v>
          </cell>
          <cell r="E15">
            <v>1439.5416934085149</v>
          </cell>
          <cell r="F15" t="str">
            <v>N/A</v>
          </cell>
        </row>
      </sheetData>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breezekeller@marlincapitalsolutions.com" TargetMode="External"/><Relationship Id="rId1" Type="http://schemas.openxmlformats.org/officeDocument/2006/relationships/hyperlink" Target="mailto:kcro@marlincapitalsolutions.com"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8"/>
  <sheetViews>
    <sheetView showGridLines="0" tabSelected="1" workbookViewId="0">
      <selection activeCell="C8" sqref="C8:E8"/>
    </sheetView>
  </sheetViews>
  <sheetFormatPr defaultColWidth="9.140625" defaultRowHeight="16.5" x14ac:dyDescent="0.3"/>
  <cols>
    <col min="1" max="1" width="19.85546875" style="4" customWidth="1"/>
    <col min="2" max="5" width="18.28515625" style="4" customWidth="1"/>
    <col min="6" max="6" width="18" style="4" customWidth="1"/>
    <col min="7" max="8" width="12.7109375" style="4" customWidth="1"/>
    <col min="9" max="9" width="20.7109375" style="4" hidden="1" customWidth="1"/>
    <col min="10" max="16" width="18.28515625" style="4" hidden="1" customWidth="1"/>
    <col min="17" max="19" width="11" style="4" hidden="1" customWidth="1"/>
    <col min="20" max="20" width="15.28515625" style="14" hidden="1" customWidth="1"/>
    <col min="21" max="21" width="24.42578125" style="81" hidden="1" customWidth="1"/>
    <col min="22" max="22" width="17.7109375" style="28" hidden="1" customWidth="1"/>
    <col min="23" max="23" width="9.140625" style="29" hidden="1" customWidth="1"/>
    <col min="24" max="25" width="9.140625" style="28" hidden="1" customWidth="1"/>
    <col min="26" max="28" width="9.140625" style="14" hidden="1" customWidth="1"/>
    <col min="29" max="29" width="24.42578125" style="28" hidden="1" customWidth="1"/>
    <col min="30" max="30" width="17.7109375" style="28" hidden="1" customWidth="1"/>
    <col min="31" max="31" width="10.28515625" style="29" hidden="1" customWidth="1"/>
    <col min="32" max="33" width="10.28515625" style="28" hidden="1" customWidth="1"/>
    <col min="34" max="35" width="10.28515625" style="14" hidden="1" customWidth="1"/>
    <col min="36" max="36" width="9.140625" style="4" hidden="1" customWidth="1"/>
    <col min="37" max="42" width="0" style="4" hidden="1" customWidth="1"/>
    <col min="43" max="16384" width="9.140625" style="4"/>
  </cols>
  <sheetData>
    <row r="1" spans="1:35" ht="47.25" customHeight="1" x14ac:dyDescent="0.3">
      <c r="I1" s="95">
        <v>43738</v>
      </c>
      <c r="J1" s="95"/>
      <c r="K1" s="95"/>
      <c r="L1" s="95"/>
      <c r="M1" s="95"/>
      <c r="N1" s="95"/>
      <c r="O1" s="95"/>
      <c r="P1" s="95"/>
      <c r="Q1" s="95"/>
      <c r="R1" s="95"/>
      <c r="S1" s="95"/>
      <c r="W1" s="28"/>
      <c r="AE1" s="28"/>
    </row>
    <row r="2" spans="1:35" ht="23.25" customHeight="1" x14ac:dyDescent="0.3">
      <c r="A2" s="10">
        <f ca="1">TODAY()</f>
        <v>43720</v>
      </c>
      <c r="B2" s="3"/>
      <c r="W2" s="28"/>
      <c r="AE2" s="28"/>
    </row>
    <row r="3" spans="1:35" ht="18.75" x14ac:dyDescent="0.3">
      <c r="A3" s="11" t="s">
        <v>0</v>
      </c>
      <c r="W3" s="28"/>
      <c r="AE3" s="28"/>
    </row>
    <row r="4" spans="1:35" x14ac:dyDescent="0.3">
      <c r="A4" s="2">
        <f ca="1">TODAY()</f>
        <v>43720</v>
      </c>
      <c r="B4" s="3" t="str">
        <f ca="1">IF(A4&gt;I1+F30,"Rates expired.  Please contact your representative for updated rates.","")</f>
        <v/>
      </c>
      <c r="W4" s="28"/>
      <c r="AE4" s="28"/>
    </row>
    <row r="5" spans="1:35" ht="19.5" thickBot="1" x14ac:dyDescent="0.35">
      <c r="A5" s="2"/>
      <c r="B5" s="3"/>
      <c r="C5" s="129" t="s">
        <v>65</v>
      </c>
      <c r="D5" s="129"/>
      <c r="E5" s="129"/>
      <c r="I5" s="102"/>
      <c r="J5" s="102"/>
      <c r="K5" s="102"/>
      <c r="L5" s="102"/>
      <c r="M5" s="102"/>
      <c r="N5" s="102"/>
    </row>
    <row r="6" spans="1:35" x14ac:dyDescent="0.3">
      <c r="A6" s="130" t="s">
        <v>1</v>
      </c>
      <c r="B6" s="131"/>
      <c r="C6" s="132" t="s">
        <v>103</v>
      </c>
      <c r="D6" s="133"/>
      <c r="E6" s="134"/>
      <c r="I6" s="102"/>
      <c r="J6" s="102"/>
      <c r="K6" s="102"/>
      <c r="L6" s="102"/>
      <c r="M6" s="102"/>
      <c r="N6" s="102"/>
      <c r="U6" s="82" t="s">
        <v>2</v>
      </c>
      <c r="V6" s="58" t="s">
        <v>3</v>
      </c>
      <c r="W6" s="9">
        <v>36</v>
      </c>
      <c r="X6" s="9">
        <v>48</v>
      </c>
      <c r="Y6" s="9">
        <v>60</v>
      </c>
      <c r="Z6" s="9">
        <v>72</v>
      </c>
      <c r="AA6" s="9">
        <v>84</v>
      </c>
      <c r="AC6" s="58" t="s">
        <v>2</v>
      </c>
      <c r="AD6" s="58" t="s">
        <v>3</v>
      </c>
      <c r="AE6" s="9">
        <v>36</v>
      </c>
      <c r="AF6" s="9">
        <v>48</v>
      </c>
      <c r="AG6" s="9">
        <v>60</v>
      </c>
      <c r="AH6" s="9">
        <v>72</v>
      </c>
      <c r="AI6" s="9">
        <v>84</v>
      </c>
    </row>
    <row r="7" spans="1:35" ht="21" thickBot="1" x14ac:dyDescent="0.35">
      <c r="A7" s="130" t="s">
        <v>4</v>
      </c>
      <c r="B7" s="131"/>
      <c r="C7" s="138" t="s">
        <v>5</v>
      </c>
      <c r="D7" s="139"/>
      <c r="E7" s="140"/>
      <c r="I7" s="146" t="s">
        <v>72</v>
      </c>
      <c r="J7" s="146"/>
      <c r="K7" s="146"/>
      <c r="L7" s="146"/>
      <c r="M7" s="102"/>
      <c r="N7" s="102"/>
      <c r="U7" s="83"/>
      <c r="V7" s="36"/>
      <c r="W7" s="37"/>
      <c r="X7" s="37"/>
      <c r="Y7" s="37"/>
      <c r="Z7" s="37"/>
      <c r="AA7" s="37"/>
      <c r="AC7" s="36"/>
      <c r="AD7" s="36"/>
      <c r="AE7" s="37"/>
      <c r="AF7" s="37"/>
      <c r="AG7" s="37"/>
      <c r="AH7" s="37"/>
      <c r="AI7" s="37"/>
    </row>
    <row r="8" spans="1:35" x14ac:dyDescent="0.3">
      <c r="A8" s="130" t="s">
        <v>6</v>
      </c>
      <c r="B8" s="131"/>
      <c r="C8" s="141">
        <v>75000</v>
      </c>
      <c r="D8" s="142"/>
      <c r="E8" s="143"/>
      <c r="F8" s="7" t="str">
        <f>IF(C8&lt;5000,"$5k Minimum, Call for Quote if Lower that $5k","")</f>
        <v/>
      </c>
      <c r="I8" s="102"/>
      <c r="J8" s="102"/>
      <c r="K8" s="102"/>
      <c r="L8" s="102"/>
      <c r="M8" s="102"/>
      <c r="N8" s="102"/>
      <c r="U8" s="84" t="s">
        <v>7</v>
      </c>
      <c r="V8" s="65">
        <v>5000</v>
      </c>
      <c r="W8" s="66">
        <f>PMT(AE8/12,36,-1,0,0)</f>
        <v>3.1781119417941407E-2</v>
      </c>
      <c r="X8" s="66">
        <f>PMT(AF8/12,48,-1,0,0)</f>
        <v>2.4648303358835708E-2</v>
      </c>
      <c r="Y8" s="66">
        <f>PMT(AG8/12,60,-1,0,0)</f>
        <v>2.0516531327051248E-2</v>
      </c>
      <c r="Z8" s="66">
        <f>PMT(AH8/12,72,-1,0,0)</f>
        <v>1.7901710281680874E-2</v>
      </c>
      <c r="AA8" s="67">
        <f>PMT(AI8/12,84,-1,0,0)</f>
        <v>1.5962492312958213E-2</v>
      </c>
      <c r="AC8" s="38" t="s">
        <v>7</v>
      </c>
      <c r="AD8" s="39">
        <v>5000</v>
      </c>
      <c r="AE8" s="61">
        <v>8.9599999999999999E-2</v>
      </c>
      <c r="AF8" s="61">
        <v>8.5000000000000006E-2</v>
      </c>
      <c r="AG8" s="61">
        <v>8.5000000000000006E-2</v>
      </c>
      <c r="AH8" s="61">
        <v>8.7499999999999994E-2</v>
      </c>
      <c r="AI8" s="61">
        <v>8.7499999999999994E-2</v>
      </c>
    </row>
    <row r="9" spans="1:35" ht="18.75" x14ac:dyDescent="0.3">
      <c r="A9" s="130" t="s">
        <v>8</v>
      </c>
      <c r="B9" s="131"/>
      <c r="C9" s="125" t="s">
        <v>87</v>
      </c>
      <c r="D9" s="126"/>
      <c r="E9" s="127"/>
      <c r="I9" s="147" t="s">
        <v>74</v>
      </c>
      <c r="J9" s="147"/>
      <c r="K9" s="147"/>
      <c r="L9" s="147"/>
      <c r="M9" s="102"/>
      <c r="N9" s="102"/>
      <c r="U9" s="85"/>
      <c r="V9" s="42">
        <v>10000</v>
      </c>
      <c r="W9" s="40">
        <f>PMT(AE9/12,36,-1,0,0)</f>
        <v>3.0872524913730007E-2</v>
      </c>
      <c r="X9" s="40">
        <f>PMT(AF9/12,48,-1,0,0)</f>
        <v>2.3941605437593785E-2</v>
      </c>
      <c r="Y9" s="40">
        <f>PMT(AG9/12,60,-1,0,0)</f>
        <v>1.9796480863209995E-2</v>
      </c>
      <c r="Z9" s="40">
        <f>PMT(AH9/12,72,-1,0,0)</f>
        <v>1.7164484441814364E-2</v>
      </c>
      <c r="AA9" s="68">
        <f>PMT(AI9/12,84,-1,0,0)</f>
        <v>1.5210273009663563E-2</v>
      </c>
      <c r="AC9" s="41"/>
      <c r="AD9" s="42">
        <v>10000</v>
      </c>
      <c r="AE9" s="61">
        <v>6.9900000000000004E-2</v>
      </c>
      <c r="AF9" s="61">
        <v>6.9900000000000004E-2</v>
      </c>
      <c r="AG9" s="61">
        <v>6.9900000000000004E-2</v>
      </c>
      <c r="AH9" s="61">
        <v>7.2400000000000006E-2</v>
      </c>
      <c r="AI9" s="61">
        <v>7.2400000000000006E-2</v>
      </c>
    </row>
    <row r="10" spans="1:35" ht="17.25" thickBot="1" x14ac:dyDescent="0.35">
      <c r="A10" s="130" t="s">
        <v>9</v>
      </c>
      <c r="B10" s="131"/>
      <c r="C10" s="135" t="s">
        <v>64</v>
      </c>
      <c r="D10" s="136"/>
      <c r="E10" s="137"/>
      <c r="I10" s="103"/>
      <c r="J10" s="93">
        <v>36</v>
      </c>
      <c r="K10" s="93">
        <v>48</v>
      </c>
      <c r="L10" s="93">
        <v>60</v>
      </c>
      <c r="M10" s="102"/>
      <c r="N10" s="102"/>
      <c r="U10" s="85" t="s">
        <v>63</v>
      </c>
      <c r="V10" s="42">
        <v>25000</v>
      </c>
      <c r="W10" s="40">
        <f>PMT(AE10/12,36,-1,0,0)</f>
        <v>3.0083270514641203E-2</v>
      </c>
      <c r="X10" s="40">
        <f>PMT(AF10/12,48,-1,0,0)</f>
        <v>2.3142712751019579E-2</v>
      </c>
      <c r="Y10" s="40">
        <f>PMT(AG10/12,60,-1,0,0)</f>
        <v>1.8985983843426729E-2</v>
      </c>
      <c r="Z10" s="40">
        <f>PMT(AH10/12,72,-1,0,0)</f>
        <v>1.6221153747699609E-2</v>
      </c>
      <c r="AA10" s="68">
        <f>PMT(AI10/12,84,-1,0,0)</f>
        <v>1.4251678095104992E-2</v>
      </c>
      <c r="AC10" s="41"/>
      <c r="AD10" s="42">
        <v>25000</v>
      </c>
      <c r="AE10" s="62">
        <v>5.2499999999999998E-2</v>
      </c>
      <c r="AF10" s="62">
        <v>5.2499999999999998E-2</v>
      </c>
      <c r="AG10" s="62">
        <v>5.2499999999999998E-2</v>
      </c>
      <c r="AH10" s="62">
        <v>5.2499999999999998E-2</v>
      </c>
      <c r="AI10" s="62">
        <v>5.2499999999999998E-2</v>
      </c>
    </row>
    <row r="11" spans="1:35" ht="17.25" customHeight="1" thickBot="1" x14ac:dyDescent="0.35">
      <c r="D11" s="26"/>
      <c r="F11" s="14"/>
      <c r="I11" s="93" t="s">
        <v>12</v>
      </c>
      <c r="J11" s="105">
        <f>'Interest Buydown Worksheet'!D14</f>
        <v>2197.6559795183107</v>
      </c>
      <c r="K11" s="105">
        <f>'Interest Buydown Worksheet'!E14</f>
        <v>1676.7000788772762</v>
      </c>
      <c r="L11" s="105">
        <f>'Interest Buydown Worksheet'!F14</f>
        <v>1364.3808727692301</v>
      </c>
      <c r="M11" s="102"/>
      <c r="N11" s="102"/>
      <c r="U11" s="86"/>
      <c r="V11" s="69">
        <v>50000</v>
      </c>
      <c r="W11" s="70">
        <f>PMT(AE11/12,36,-1,0,0)</f>
        <v>3.0083270514641203E-2</v>
      </c>
      <c r="X11" s="70">
        <f>PMT(AF11/12,48,-1,0,0)</f>
        <v>2.3142712751019579E-2</v>
      </c>
      <c r="Y11" s="70">
        <f>PMT(AG11/12,60,-1,0,0)</f>
        <v>1.8985983843426729E-2</v>
      </c>
      <c r="Z11" s="70">
        <f>PMT(AH11/12,72,-1,0,0)</f>
        <v>1.6221153747699609E-2</v>
      </c>
      <c r="AA11" s="71">
        <f>PMT(AI11/12,84,-1,0,0)</f>
        <v>1.4251678095104992E-2</v>
      </c>
      <c r="AC11" s="43"/>
      <c r="AD11" s="44">
        <v>50000</v>
      </c>
      <c r="AE11" s="62">
        <v>5.2499999999999998E-2</v>
      </c>
      <c r="AF11" s="62">
        <v>5.2499999999999998E-2</v>
      </c>
      <c r="AG11" s="62">
        <v>5.2499999999999998E-2</v>
      </c>
      <c r="AH11" s="62">
        <v>5.2499999999999998E-2</v>
      </c>
      <c r="AI11" s="62">
        <v>5.2499999999999998E-2</v>
      </c>
    </row>
    <row r="12" spans="1:35" ht="17.25" customHeight="1" thickBot="1" x14ac:dyDescent="0.35">
      <c r="B12" s="128" t="s">
        <v>10</v>
      </c>
      <c r="C12" s="128"/>
      <c r="D12" s="128"/>
      <c r="E12" s="128"/>
      <c r="F12" s="128"/>
      <c r="I12" s="93" t="s">
        <v>59</v>
      </c>
      <c r="J12" s="105">
        <f>'Interest Buydown Worksheet'!D16</f>
        <v>1662.681303580961</v>
      </c>
      <c r="K12" s="105">
        <f>'Interest Buydown Worksheet'!E16</f>
        <v>2178.4031010828476</v>
      </c>
      <c r="L12" s="105">
        <f>'Interest Buydown Worksheet'!F16</f>
        <v>2682.9384874794487</v>
      </c>
      <c r="M12" s="102"/>
      <c r="N12" s="102"/>
      <c r="U12" s="87"/>
      <c r="V12" s="45"/>
      <c r="W12" s="46"/>
      <c r="X12" s="47"/>
      <c r="Y12" s="47"/>
      <c r="Z12" s="47"/>
      <c r="AA12" s="47"/>
      <c r="AC12"/>
      <c r="AD12" s="45"/>
      <c r="AE12" s="63"/>
      <c r="AF12" s="64"/>
      <c r="AG12" s="64"/>
      <c r="AH12" s="64"/>
      <c r="AI12" s="64"/>
    </row>
    <row r="13" spans="1:35" ht="17.25" customHeight="1" x14ac:dyDescent="0.3">
      <c r="A13" s="1"/>
      <c r="B13" s="93">
        <v>36</v>
      </c>
      <c r="C13" s="93">
        <v>48</v>
      </c>
      <c r="D13" s="93">
        <v>60</v>
      </c>
      <c r="E13" s="93">
        <v>72</v>
      </c>
      <c r="F13" s="93">
        <v>84</v>
      </c>
      <c r="I13" s="93" t="s">
        <v>60</v>
      </c>
      <c r="J13" s="105">
        <f>$C$8-J12</f>
        <v>73337.318696419039</v>
      </c>
      <c r="K13" s="105">
        <f>$C$8-K12</f>
        <v>72821.596898917152</v>
      </c>
      <c r="L13" s="105">
        <f>$C$8-L12</f>
        <v>72317.061512520551</v>
      </c>
      <c r="M13" s="102"/>
      <c r="N13" s="102"/>
      <c r="U13" s="84" t="s">
        <v>11</v>
      </c>
      <c r="V13" s="65">
        <v>5000</v>
      </c>
      <c r="W13" s="66">
        <f>PMT(AE13/12,36,-FV(AE13/12,3,0,-1,1),0,1)</f>
        <v>3.2257489300635912E-2</v>
      </c>
      <c r="X13" s="66">
        <f>PMT(AF13/12,48,-FV(AF13/12,3,0,-1,1),0,1)</f>
        <v>2.5128998252384759E-2</v>
      </c>
      <c r="Y13" s="66">
        <f>PMT(AG13/12,60,-FV(AG13/12,3,0,-1,1),0,1)</f>
        <v>2.0939289599289625E-2</v>
      </c>
      <c r="Z13" s="66">
        <f>PMT(AH13/12,72,-FV(AH13/12,3,0,-1,1),0,1)</f>
        <v>1.8163728695298056E-2</v>
      </c>
      <c r="AA13" s="67"/>
      <c r="AC13" s="38" t="s">
        <v>11</v>
      </c>
      <c r="AD13" s="39">
        <v>5000</v>
      </c>
      <c r="AE13" s="61">
        <v>8.9599999999999999E-2</v>
      </c>
      <c r="AF13" s="61">
        <v>8.7499999999999994E-2</v>
      </c>
      <c r="AG13" s="61">
        <v>8.7499999999999994E-2</v>
      </c>
      <c r="AH13" s="61">
        <v>8.7499999999999994E-2</v>
      </c>
      <c r="AI13" s="61"/>
    </row>
    <row r="14" spans="1:35" ht="17.25" customHeight="1" x14ac:dyDescent="0.3">
      <c r="A14" s="93" t="s">
        <v>12</v>
      </c>
      <c r="B14" s="94">
        <f>IF($C$8&lt;5000,"N/A",$C$8*VLOOKUP($C$8,$V$8:$AA$11,2))</f>
        <v>2256.2452885980902</v>
      </c>
      <c r="C14" s="94">
        <f>IF($C$8&lt;5000,"N/A",$C$8*VLOOKUP($C$8,$V$8:$AA$11,3))</f>
        <v>1735.7034563264685</v>
      </c>
      <c r="D14" s="94">
        <f>IF($C$8&lt;5000,"N/A",$C$8*VLOOKUP($C$8,$V$8:$AA$11,4))</f>
        <v>1423.9487882570047</v>
      </c>
      <c r="E14" s="94">
        <f>IF($C$8&lt;5000,"N/A",$C$8*VLOOKUP($C$8,$V$8:$AA$11,5))</f>
        <v>1216.5865310774707</v>
      </c>
      <c r="F14" s="94">
        <f>IF($C$8&lt;5000,"N/A",$C$8*VLOOKUP($C$8,$V$8:$AA$11,6))</f>
        <v>1068.8758571328744</v>
      </c>
      <c r="I14" s="104"/>
      <c r="J14" s="104"/>
      <c r="K14" s="104"/>
      <c r="L14" s="104"/>
      <c r="M14" s="102"/>
      <c r="N14" s="102"/>
      <c r="U14" s="144" t="s">
        <v>62</v>
      </c>
      <c r="V14" s="42">
        <v>10000</v>
      </c>
      <c r="W14" s="40">
        <f>PMT(AE14/12,36,-FV(AE14/12,3,0,-1,1),0,1)</f>
        <v>3.1361984077612398E-2</v>
      </c>
      <c r="X14" s="40">
        <f>PMT(AF14/12,48,-FV(AF14/12,3,0,-1,1),0,1)</f>
        <v>2.43489224585564E-2</v>
      </c>
      <c r="Y14" s="40">
        <f>PMT(AG14/12,60,-FV(AG14/12,3,0,-1,1),0,1)</f>
        <v>2.0155654764284939E-2</v>
      </c>
      <c r="Z14" s="40">
        <f>PMT(AH14/12,72,-FV(AH14/12,3,0,-1,1),0,1)</f>
        <v>1.7372227360384258E-2</v>
      </c>
      <c r="AA14" s="68"/>
      <c r="AC14" s="49"/>
      <c r="AD14" s="42">
        <v>10000</v>
      </c>
      <c r="AE14" s="61">
        <v>7.2400000000000006E-2</v>
      </c>
      <c r="AF14" s="61">
        <v>7.2400000000000006E-2</v>
      </c>
      <c r="AG14" s="61">
        <v>7.2400000000000006E-2</v>
      </c>
      <c r="AH14" s="61">
        <v>7.2400000000000006E-2</v>
      </c>
      <c r="AI14" s="61"/>
    </row>
    <row r="15" spans="1:35" ht="17.25" customHeight="1" x14ac:dyDescent="0.3">
      <c r="A15" s="93" t="s">
        <v>11</v>
      </c>
      <c r="B15" s="94">
        <f>IF($C$8&lt;5000,"N/A",$C$8*VLOOKUP($C$8,$V$13:$AA$16,2))</f>
        <v>2275.6524068597696</v>
      </c>
      <c r="C15" s="94">
        <f>IF($C$8&lt;5000,"N/A",$C$8*VLOOKUP($C$8,$V$13:$AA$16,3))</f>
        <v>1750.551294776021</v>
      </c>
      <c r="D15" s="94">
        <f>IF($C$8&lt;5000,"N/A",$C$8*VLOOKUP($C$8,$V$13:$AA$16,4))</f>
        <v>1436.0638734869863</v>
      </c>
      <c r="E15" s="94">
        <f>IF($C$8&lt;5000,"N/A",$C$8*VLOOKUP($C$8,$V$13:$AA$16,5))</f>
        <v>1226.8821250640751</v>
      </c>
      <c r="F15" s="94" t="s">
        <v>13</v>
      </c>
      <c r="I15" s="147" t="s">
        <v>73</v>
      </c>
      <c r="J15" s="147"/>
      <c r="K15" s="147"/>
      <c r="L15" s="147"/>
      <c r="M15" s="147"/>
      <c r="N15" s="147"/>
      <c r="U15" s="144"/>
      <c r="V15" s="42">
        <v>25000</v>
      </c>
      <c r="W15" s="40">
        <f>PMT(AE15/12,36,-FV(AE15/12,3,0,-1,1),0,1)</f>
        <v>3.0342032091463595E-2</v>
      </c>
      <c r="X15" s="40">
        <f>PMT(AF15/12,48,-FV(AF15/12,3,0,-1,1),0,1)</f>
        <v>2.3340683930346946E-2</v>
      </c>
      <c r="Y15" s="40">
        <f>PMT(AG15/12,60,-FV(AG15/12,3,0,-1,1),0,1)</f>
        <v>1.9147518313159816E-2</v>
      </c>
      <c r="Z15" s="40">
        <f>PMT(AH15/12,72,-FV(AH15/12,3,0,-1,1),0,1)</f>
        <v>1.6358428334187668E-2</v>
      </c>
      <c r="AA15" s="68"/>
      <c r="AC15" s="49"/>
      <c r="AD15" s="42">
        <v>25000</v>
      </c>
      <c r="AE15" s="62">
        <v>5.2400000000000002E-2</v>
      </c>
      <c r="AF15" s="62">
        <v>5.2400000000000002E-2</v>
      </c>
      <c r="AG15" s="62">
        <v>5.2400000000000002E-2</v>
      </c>
      <c r="AH15" s="62">
        <v>5.2400000000000002E-2</v>
      </c>
      <c r="AI15" s="62"/>
    </row>
    <row r="16" spans="1:35" ht="17.25" customHeight="1" thickBot="1" x14ac:dyDescent="0.35">
      <c r="A16" s="51"/>
      <c r="B16" s="124"/>
      <c r="C16" s="124"/>
      <c r="D16" s="124"/>
      <c r="E16" s="124"/>
      <c r="F16" s="124"/>
      <c r="G16" s="17"/>
      <c r="H16" s="17"/>
      <c r="I16" s="103"/>
      <c r="J16" s="93">
        <v>36</v>
      </c>
      <c r="K16" s="93">
        <v>48</v>
      </c>
      <c r="L16" s="93">
        <v>60</v>
      </c>
      <c r="M16" s="93">
        <v>72</v>
      </c>
      <c r="N16" s="93">
        <v>78</v>
      </c>
      <c r="U16" s="145"/>
      <c r="V16" s="72">
        <v>50000</v>
      </c>
      <c r="W16" s="70">
        <f>PMT(AE16/12,36,-FV(AE16/12,3,0,-1,1),0,1)</f>
        <v>3.0342032091463595E-2</v>
      </c>
      <c r="X16" s="70">
        <f>PMT(AF16/12,48,-FV(AF16/12,3,0,-1,1),0,1)</f>
        <v>2.3340683930346946E-2</v>
      </c>
      <c r="Y16" s="70">
        <f>PMT(AG16/12,60,-FV(AG16/12,3,0,-1,1),0,1)</f>
        <v>1.9147518313159816E-2</v>
      </c>
      <c r="Z16" s="70">
        <f>PMT(AH16/12,72,-FV(AH16/12,3,0,-1,1),0,1)</f>
        <v>1.6358428334187668E-2</v>
      </c>
      <c r="AA16" s="71"/>
      <c r="AC16" s="50"/>
      <c r="AD16" s="42">
        <v>50000</v>
      </c>
      <c r="AE16" s="62">
        <v>5.2400000000000002E-2</v>
      </c>
      <c r="AF16" s="62">
        <v>5.2400000000000002E-2</v>
      </c>
      <c r="AG16" s="62">
        <v>5.2400000000000002E-2</v>
      </c>
      <c r="AH16" s="62">
        <v>5.2400000000000002E-2</v>
      </c>
      <c r="AI16" s="62"/>
    </row>
    <row r="17" spans="1:35" ht="17.25" customHeight="1" thickBot="1" x14ac:dyDescent="0.35">
      <c r="A17" s="4" t="s">
        <v>14</v>
      </c>
      <c r="B17" s="123" t="s">
        <v>54</v>
      </c>
      <c r="C17" s="123"/>
      <c r="D17" s="123"/>
      <c r="E17" s="123"/>
      <c r="F17" s="123"/>
      <c r="G17" s="13"/>
      <c r="H17" s="13"/>
      <c r="I17" s="93" t="s">
        <v>82</v>
      </c>
      <c r="J17" s="105">
        <f>$C$8*W23</f>
        <v>2306.0344072576845</v>
      </c>
      <c r="K17" s="105">
        <f t="shared" ref="K17:N17" si="0">$C$8*X23</f>
        <v>1774.0056505877146</v>
      </c>
      <c r="L17" s="105">
        <f t="shared" si="0"/>
        <v>1455.371415726629</v>
      </c>
      <c r="M17" s="105">
        <f t="shared" si="0"/>
        <v>1243.433244713432</v>
      </c>
      <c r="N17" s="105">
        <f t="shared" si="0"/>
        <v>1162.0859164738695</v>
      </c>
      <c r="U17" s="87"/>
      <c r="V17" s="45"/>
      <c r="W17" s="73">
        <v>36</v>
      </c>
      <c r="X17" s="73">
        <v>48</v>
      </c>
      <c r="Y17" s="73">
        <v>60</v>
      </c>
      <c r="Z17" s="73">
        <v>72</v>
      </c>
      <c r="AA17" s="73">
        <v>78</v>
      </c>
      <c r="AC17"/>
      <c r="AD17" s="45"/>
      <c r="AE17" s="9">
        <v>36</v>
      </c>
      <c r="AF17" s="9">
        <v>48</v>
      </c>
      <c r="AG17" s="9">
        <v>60</v>
      </c>
      <c r="AH17" s="9">
        <v>72</v>
      </c>
      <c r="AI17" s="9">
        <v>78</v>
      </c>
    </row>
    <row r="18" spans="1:35" ht="17.25" customHeight="1" x14ac:dyDescent="0.3">
      <c r="A18" s="17"/>
      <c r="B18" s="93">
        <v>36</v>
      </c>
      <c r="C18" s="93">
        <v>48</v>
      </c>
      <c r="D18" s="93">
        <v>60</v>
      </c>
      <c r="E18" s="93">
        <v>72</v>
      </c>
      <c r="F18" s="93">
        <v>78</v>
      </c>
      <c r="G18" s="13"/>
      <c r="H18" s="13"/>
      <c r="I18" s="93" t="s">
        <v>59</v>
      </c>
      <c r="J18" s="105">
        <f>$C$8*0.0349</f>
        <v>2617.5</v>
      </c>
      <c r="K18" s="105">
        <f>$C$8*0.0349</f>
        <v>2617.5</v>
      </c>
      <c r="L18" s="105">
        <f>$C$8*0.0349</f>
        <v>2617.5</v>
      </c>
      <c r="M18" s="105">
        <f>$C$8*0.0349</f>
        <v>2617.5</v>
      </c>
      <c r="N18" s="105">
        <f>$C$8*0.0349</f>
        <v>2617.5</v>
      </c>
      <c r="U18" s="88" t="s">
        <v>15</v>
      </c>
      <c r="V18" s="65">
        <v>30000</v>
      </c>
      <c r="W18" s="66">
        <f>PMT(AE18/12,W17,-FV(AE18/12,6,0,-1,1),0,1)</f>
        <v>3.0747125430102457E-2</v>
      </c>
      <c r="X18" s="66">
        <f>PMT(AF18/12,X17,-FV(AF18/12,6,0,-1,1),0,1)</f>
        <v>2.3653408674502861E-2</v>
      </c>
      <c r="Y18" s="66">
        <f>PMT(AG18/12,Y17,-FV(AG18/12,6,0,-1,1),0,1)</f>
        <v>1.9404952209688388E-2</v>
      </c>
      <c r="Z18" s="66">
        <f>PMT(AH18/12,Z17,-FV(AH18/12,6,0,-1,1),0,1)</f>
        <v>1.6579109929512427E-2</v>
      </c>
      <c r="AA18" s="67">
        <f>PMT(AI18/12,AA17,-FV(AI18/12,6,0,-1,1),0,1)</f>
        <v>1.5494478886318259E-2</v>
      </c>
      <c r="AC18" s="55" t="s">
        <v>15</v>
      </c>
      <c r="AD18" s="39">
        <v>30000</v>
      </c>
      <c r="AE18" s="62">
        <v>5.2499999999999998E-2</v>
      </c>
      <c r="AF18" s="62">
        <v>5.2499999999999998E-2</v>
      </c>
      <c r="AG18" s="62">
        <v>5.2499999999999998E-2</v>
      </c>
      <c r="AH18" s="62">
        <v>5.2499999999999998E-2</v>
      </c>
      <c r="AI18" s="62">
        <v>5.2499999999999998E-2</v>
      </c>
    </row>
    <row r="19" spans="1:35" s="17" customFormat="1" ht="17.25" customHeight="1" x14ac:dyDescent="0.3">
      <c r="B19" s="94">
        <f>IF($C$8&lt;25000,"",$C$8*W18)</f>
        <v>2306.0344072576845</v>
      </c>
      <c r="C19" s="94">
        <f>IF($C$8&lt;25000,"",$C$8*X18)</f>
        <v>1774.0056505877146</v>
      </c>
      <c r="D19" s="94">
        <f>IF($C$8&lt;25000,"",$C$8*Y18)</f>
        <v>1455.371415726629</v>
      </c>
      <c r="E19" s="94">
        <f>IF($C$8&lt;25000,"",$C$8*Z18)</f>
        <v>1243.433244713432</v>
      </c>
      <c r="F19" s="94">
        <f>IF($C$8&lt;25000,"",$C$8*AA18)</f>
        <v>1162.0859164738695</v>
      </c>
      <c r="G19" s="13"/>
      <c r="H19" s="13"/>
      <c r="I19" s="93" t="s">
        <v>60</v>
      </c>
      <c r="J19" s="105">
        <f>$C$8-J18</f>
        <v>72382.5</v>
      </c>
      <c r="K19" s="105">
        <f>$C$8-K18</f>
        <v>72382.5</v>
      </c>
      <c r="L19" s="105">
        <f>$C$8-L18</f>
        <v>72382.5</v>
      </c>
      <c r="M19" s="105">
        <f>$C$8-M18</f>
        <v>72382.5</v>
      </c>
      <c r="N19" s="105">
        <f>$C$8-N18</f>
        <v>72382.5</v>
      </c>
      <c r="T19" s="27"/>
      <c r="U19" s="144" t="s">
        <v>61</v>
      </c>
      <c r="V19" s="39"/>
      <c r="W19" s="39"/>
      <c r="X19" s="39"/>
      <c r="Y19" s="39"/>
      <c r="Z19" s="39"/>
      <c r="AA19" s="74"/>
      <c r="AB19" s="27"/>
      <c r="AC19" s="56"/>
      <c r="AD19" s="39"/>
      <c r="AE19" s="59"/>
      <c r="AF19" s="60"/>
      <c r="AG19" s="60"/>
      <c r="AH19" s="60"/>
      <c r="AI19" s="60"/>
    </row>
    <row r="20" spans="1:35" s="13" customFormat="1" ht="17.25" customHeight="1" x14ac:dyDescent="0.3">
      <c r="A20" s="7"/>
      <c r="B20" s="17"/>
      <c r="C20" s="17"/>
      <c r="D20" s="17"/>
      <c r="E20" s="12"/>
      <c r="I20" s="108" t="s">
        <v>75</v>
      </c>
      <c r="J20" s="108"/>
      <c r="K20" s="108"/>
      <c r="L20" s="108"/>
      <c r="M20" s="104"/>
      <c r="N20" s="104"/>
      <c r="T20" s="15"/>
      <c r="U20" s="144"/>
      <c r="V20" s="39"/>
      <c r="W20" s="40"/>
      <c r="X20" s="48"/>
      <c r="Y20" s="48"/>
      <c r="Z20" s="48"/>
      <c r="AA20" s="75"/>
      <c r="AB20" s="15"/>
      <c r="AC20" s="56"/>
      <c r="AD20" s="39"/>
      <c r="AE20" s="59"/>
      <c r="AF20" s="60"/>
      <c r="AG20" s="60"/>
      <c r="AH20" s="60"/>
      <c r="AI20" s="60"/>
    </row>
    <row r="21" spans="1:35" s="13" customFormat="1" ht="17.25" customHeight="1" thickBot="1" x14ac:dyDescent="0.35">
      <c r="A21" s="17"/>
      <c r="B21" s="100"/>
      <c r="C21" s="122" t="s">
        <v>58</v>
      </c>
      <c r="D21" s="122"/>
      <c r="E21" s="122"/>
      <c r="F21" s="100"/>
      <c r="I21" s="108" t="s">
        <v>76</v>
      </c>
      <c r="J21" s="108"/>
      <c r="K21" s="108"/>
      <c r="L21" s="108"/>
      <c r="M21" s="104"/>
      <c r="N21" s="104"/>
      <c r="T21" s="15"/>
      <c r="U21" s="145"/>
      <c r="V21" s="76"/>
      <c r="W21" s="70"/>
      <c r="X21" s="77"/>
      <c r="Y21" s="77"/>
      <c r="Z21" s="77"/>
      <c r="AA21" s="78"/>
      <c r="AB21" s="15"/>
      <c r="AC21" s="57"/>
      <c r="AD21" s="39"/>
      <c r="AE21" s="59"/>
      <c r="AF21" s="60"/>
      <c r="AG21" s="60"/>
      <c r="AH21" s="60"/>
      <c r="AI21" s="60"/>
    </row>
    <row r="22" spans="1:35" s="13" customFormat="1" ht="17.25" customHeight="1" thickBot="1" x14ac:dyDescent="0.35">
      <c r="A22" s="12"/>
      <c r="B22" s="12"/>
      <c r="C22" s="93" t="s">
        <v>57</v>
      </c>
      <c r="D22" s="93" t="s">
        <v>59</v>
      </c>
      <c r="E22" s="93" t="s">
        <v>60</v>
      </c>
      <c r="F22" s="4"/>
      <c r="G22" s="4"/>
      <c r="H22" s="4"/>
      <c r="I22" s="108" t="s">
        <v>77</v>
      </c>
      <c r="J22" s="108"/>
      <c r="K22" s="108"/>
      <c r="L22" s="108"/>
      <c r="M22" s="104"/>
      <c r="N22" s="104"/>
      <c r="T22" s="15"/>
      <c r="U22" s="87"/>
      <c r="V22" s="45"/>
      <c r="W22" s="73">
        <v>36</v>
      </c>
      <c r="X22" s="73">
        <v>48</v>
      </c>
      <c r="Y22" s="73">
        <v>60</v>
      </c>
      <c r="Z22" s="73">
        <v>72</v>
      </c>
      <c r="AA22" s="73">
        <v>78</v>
      </c>
      <c r="AB22" s="14"/>
      <c r="AC22"/>
      <c r="AD22" s="45"/>
      <c r="AE22" s="9">
        <v>36</v>
      </c>
      <c r="AF22" s="9">
        <v>48</v>
      </c>
      <c r="AG22" s="9">
        <v>60</v>
      </c>
      <c r="AH22" s="9">
        <v>72</v>
      </c>
      <c r="AI22" s="9">
        <v>78</v>
      </c>
    </row>
    <row r="23" spans="1:35" s="13" customFormat="1" ht="17.25" customHeight="1" x14ac:dyDescent="0.3">
      <c r="A23" s="12"/>
      <c r="B23" s="12"/>
      <c r="C23" s="94">
        <f>C8/12</f>
        <v>6250</v>
      </c>
      <c r="D23" s="94">
        <f>C8*0.05</f>
        <v>3750</v>
      </c>
      <c r="E23" s="94">
        <f>C8-D23</f>
        <v>71250</v>
      </c>
      <c r="F23" s="4"/>
      <c r="G23" s="4"/>
      <c r="H23" s="4"/>
      <c r="I23" s="108" t="s">
        <v>79</v>
      </c>
      <c r="J23" s="108"/>
      <c r="K23" s="108"/>
      <c r="L23" s="108"/>
      <c r="M23" s="109"/>
      <c r="N23" s="107"/>
      <c r="O23" s="18"/>
      <c r="P23" s="18"/>
      <c r="T23" s="15"/>
      <c r="U23" s="88" t="s">
        <v>81</v>
      </c>
      <c r="V23" s="65">
        <v>30000</v>
      </c>
      <c r="W23" s="66">
        <f>PMT(AE23/12,W22,-FV(AE23/12,6,0,-1,1),0,1)</f>
        <v>3.0747125430102457E-2</v>
      </c>
      <c r="X23" s="66">
        <f>PMT(AF23/12,X22,-FV(AF23/12,6,0,-1,1),0,1)</f>
        <v>2.3653408674502861E-2</v>
      </c>
      <c r="Y23" s="66">
        <f>PMT(AG23/12,Y22,-FV(AG23/12,6,0,-1,1),0,1)</f>
        <v>1.9404952209688388E-2</v>
      </c>
      <c r="Z23" s="66">
        <f>PMT(AH23/12,Z22,-FV(AH23/12,6,0,-1,1),0,1)</f>
        <v>1.6579109929512427E-2</v>
      </c>
      <c r="AA23" s="67">
        <f>PMT(AI23/12,AA22,-FV(AI23/12,6,0,-1,1),0,1)</f>
        <v>1.5494478886318259E-2</v>
      </c>
      <c r="AB23" s="14"/>
      <c r="AC23" s="55" t="s">
        <v>15</v>
      </c>
      <c r="AD23" s="39">
        <v>30000</v>
      </c>
      <c r="AE23" s="62">
        <v>5.2499999999999998E-2</v>
      </c>
      <c r="AF23" s="62">
        <v>5.2499999999999998E-2</v>
      </c>
      <c r="AG23" s="62">
        <v>5.2499999999999998E-2</v>
      </c>
      <c r="AH23" s="62">
        <v>5.2499999999999998E-2</v>
      </c>
      <c r="AI23" s="62">
        <v>5.2499999999999998E-2</v>
      </c>
    </row>
    <row r="24" spans="1:35" s="13" customFormat="1" ht="17.25" x14ac:dyDescent="0.3">
      <c r="A24" s="12"/>
      <c r="B24" s="12"/>
      <c r="C24" s="99"/>
      <c r="D24" s="99"/>
      <c r="E24" s="99"/>
      <c r="F24" s="4"/>
      <c r="G24" s="4"/>
      <c r="H24" s="4"/>
      <c r="I24" s="108" t="s">
        <v>78</v>
      </c>
      <c r="J24" s="108" t="s">
        <v>80</v>
      </c>
      <c r="K24" s="108"/>
      <c r="L24" s="108"/>
      <c r="M24" s="107"/>
      <c r="N24" s="107"/>
      <c r="O24" s="18"/>
      <c r="P24" s="18"/>
      <c r="T24" s="15"/>
      <c r="U24" s="144" t="s">
        <v>61</v>
      </c>
      <c r="V24" s="39"/>
      <c r="W24" s="39"/>
      <c r="X24" s="39"/>
      <c r="Y24" s="39"/>
      <c r="Z24" s="39"/>
      <c r="AA24" s="74"/>
      <c r="AB24" s="27"/>
      <c r="AC24" s="56"/>
      <c r="AD24" s="39"/>
      <c r="AE24" s="59"/>
      <c r="AF24" s="60"/>
      <c r="AG24" s="60"/>
      <c r="AH24" s="60"/>
      <c r="AI24" s="60"/>
    </row>
    <row r="25" spans="1:35" s="13" customFormat="1" ht="17.25" x14ac:dyDescent="0.3">
      <c r="A25" s="12"/>
      <c r="B25" s="12"/>
      <c r="C25" s="12"/>
      <c r="D25" s="12"/>
      <c r="E25" s="12"/>
      <c r="F25" s="4"/>
      <c r="G25" s="4"/>
      <c r="I25" s="103"/>
      <c r="J25" s="103"/>
      <c r="K25" s="103"/>
      <c r="L25" s="103"/>
      <c r="M25" s="107"/>
      <c r="N25" s="107"/>
      <c r="O25" s="18"/>
      <c r="P25" s="18"/>
      <c r="T25" s="15"/>
      <c r="U25" s="144"/>
      <c r="V25" s="39"/>
      <c r="W25" s="40"/>
      <c r="X25" s="48"/>
      <c r="Y25" s="48"/>
      <c r="Z25" s="48"/>
      <c r="AA25" s="75"/>
      <c r="AB25" s="15"/>
      <c r="AC25" s="56"/>
      <c r="AD25" s="39"/>
      <c r="AE25" s="59"/>
      <c r="AF25" s="60"/>
      <c r="AG25" s="60"/>
      <c r="AH25" s="60"/>
      <c r="AI25" s="60"/>
    </row>
    <row r="26" spans="1:35" s="13" customFormat="1" ht="18" thickBot="1" x14ac:dyDescent="0.35">
      <c r="A26" s="17" t="s">
        <v>16</v>
      </c>
      <c r="B26" s="17"/>
      <c r="C26" s="17"/>
      <c r="D26" s="17"/>
      <c r="E26" s="12"/>
      <c r="F26" s="4"/>
      <c r="G26" s="4"/>
      <c r="H26" s="4"/>
      <c r="M26" s="106"/>
      <c r="N26" s="106"/>
      <c r="O26" s="18"/>
      <c r="P26" s="18"/>
      <c r="T26" s="15"/>
      <c r="U26" s="145"/>
      <c r="V26" s="76"/>
      <c r="W26" s="70"/>
      <c r="X26" s="77"/>
      <c r="Y26" s="77"/>
      <c r="Z26" s="77"/>
      <c r="AA26" s="78"/>
      <c r="AB26" s="15"/>
      <c r="AC26" s="57"/>
      <c r="AD26" s="39"/>
      <c r="AE26" s="59"/>
      <c r="AF26" s="60"/>
      <c r="AG26" s="60"/>
      <c r="AH26" s="60"/>
      <c r="AI26" s="60"/>
    </row>
    <row r="27" spans="1:35" s="13" customFormat="1" ht="17.25" x14ac:dyDescent="0.3">
      <c r="A27" s="12"/>
      <c r="B27" s="12"/>
      <c r="C27" s="12"/>
      <c r="D27" s="12"/>
      <c r="E27" s="12"/>
      <c r="F27" s="4"/>
      <c r="G27" s="4"/>
      <c r="H27" s="4"/>
      <c r="I27" s="4"/>
      <c r="J27" s="4"/>
      <c r="K27" s="4"/>
      <c r="L27" s="4"/>
      <c r="M27" s="106"/>
      <c r="N27" s="106"/>
      <c r="O27" s="18"/>
      <c r="P27" s="18"/>
      <c r="T27" s="15"/>
      <c r="U27" s="89"/>
      <c r="V27" s="30"/>
      <c r="W27" s="31"/>
      <c r="X27" s="30"/>
      <c r="Y27" s="30"/>
      <c r="Z27" s="15"/>
      <c r="AA27" s="15"/>
      <c r="AB27" s="15"/>
      <c r="AC27" s="30"/>
      <c r="AD27" s="30"/>
      <c r="AE27" s="31"/>
      <c r="AF27" s="30"/>
      <c r="AG27" s="30"/>
      <c r="AH27" s="15"/>
      <c r="AI27" s="15"/>
    </row>
    <row r="28" spans="1:35" s="13" customFormat="1" x14ac:dyDescent="0.3">
      <c r="A28" s="12" t="s">
        <v>102</v>
      </c>
      <c r="B28" s="12"/>
      <c r="C28" s="12"/>
      <c r="D28" s="12"/>
      <c r="E28" s="12"/>
      <c r="F28" s="4"/>
      <c r="G28" s="4"/>
      <c r="H28" s="4"/>
      <c r="I28" s="4"/>
      <c r="J28" s="4"/>
      <c r="K28" s="4"/>
      <c r="L28" s="4"/>
      <c r="T28" s="15"/>
      <c r="U28" s="89"/>
      <c r="V28" s="30"/>
      <c r="W28" s="31"/>
      <c r="X28" s="30"/>
      <c r="Y28" s="30"/>
      <c r="Z28" s="15"/>
      <c r="AA28" s="15"/>
      <c r="AB28" s="15"/>
      <c r="AC28" s="30"/>
      <c r="AD28" s="30"/>
      <c r="AE28" s="31"/>
      <c r="AF28" s="30"/>
      <c r="AG28" s="30"/>
      <c r="AH28" s="15"/>
      <c r="AI28" s="15"/>
    </row>
    <row r="29" spans="1:35" s="13" customFormat="1" x14ac:dyDescent="0.3">
      <c r="A29" s="12" t="s">
        <v>17</v>
      </c>
      <c r="B29" s="12"/>
      <c r="C29" s="12"/>
      <c r="D29" s="12"/>
      <c r="E29" s="12"/>
      <c r="F29" s="4"/>
      <c r="G29" s="4"/>
      <c r="H29" s="4"/>
      <c r="I29" s="4"/>
      <c r="J29" s="4"/>
      <c r="K29" s="4"/>
      <c r="L29" s="4"/>
      <c r="T29" s="15"/>
      <c r="U29" s="89"/>
      <c r="V29" s="30"/>
      <c r="W29" s="31"/>
      <c r="X29" s="30"/>
      <c r="Y29" s="30"/>
      <c r="Z29" s="15"/>
      <c r="AA29" s="15"/>
      <c r="AB29" s="15"/>
      <c r="AC29" s="30"/>
      <c r="AD29" s="30"/>
      <c r="AE29" s="31"/>
      <c r="AF29" s="30"/>
      <c r="AG29" s="30"/>
      <c r="AH29" s="15"/>
      <c r="AI29" s="15"/>
    </row>
    <row r="30" spans="1:35" s="13" customFormat="1" x14ac:dyDescent="0.3">
      <c r="A30" s="12" t="s">
        <v>19</v>
      </c>
      <c r="B30" s="12"/>
      <c r="C30" s="12"/>
      <c r="D30" s="12"/>
      <c r="E30" s="4"/>
      <c r="F30" s="4"/>
      <c r="G30" s="4"/>
      <c r="H30" s="4"/>
      <c r="I30" s="4"/>
      <c r="J30" s="4"/>
      <c r="K30" s="4"/>
      <c r="L30" s="4"/>
      <c r="T30" s="15"/>
      <c r="U30" s="89"/>
      <c r="V30" s="30"/>
      <c r="W30" s="31"/>
      <c r="X30" s="30"/>
      <c r="Y30" s="30"/>
      <c r="Z30" s="15"/>
      <c r="AA30" s="15"/>
      <c r="AB30" s="15"/>
      <c r="AC30" s="30"/>
      <c r="AD30" s="30"/>
      <c r="AE30" s="31"/>
      <c r="AF30" s="30"/>
      <c r="AG30" s="30"/>
      <c r="AH30" s="15"/>
      <c r="AI30" s="15"/>
    </row>
    <row r="31" spans="1:35" s="13" customFormat="1" x14ac:dyDescent="0.3">
      <c r="A31" s="12"/>
      <c r="B31" s="12"/>
      <c r="C31" s="12"/>
      <c r="D31" s="12"/>
      <c r="E31" s="4"/>
      <c r="F31" s="4"/>
      <c r="G31" s="4"/>
      <c r="H31" s="4"/>
      <c r="I31" s="4"/>
      <c r="J31" s="4"/>
      <c r="K31" s="4"/>
      <c r="L31" s="4"/>
      <c r="T31" s="15"/>
      <c r="U31" s="89"/>
      <c r="V31" s="30"/>
      <c r="W31" s="31"/>
      <c r="X31" s="30"/>
      <c r="Y31" s="30"/>
      <c r="Z31" s="15"/>
      <c r="AA31" s="15"/>
      <c r="AB31" s="15"/>
      <c r="AC31" s="30"/>
      <c r="AD31" s="30">
        <v>3.0599999999999999E-2</v>
      </c>
      <c r="AE31" s="31"/>
      <c r="AF31" s="30"/>
      <c r="AG31" s="30" t="s">
        <v>18</v>
      </c>
      <c r="AH31" s="15"/>
      <c r="AI31" s="15"/>
    </row>
    <row r="32" spans="1:35" s="13" customFormat="1" x14ac:dyDescent="0.3">
      <c r="A32" s="12" t="s">
        <v>22</v>
      </c>
      <c r="B32" s="12"/>
      <c r="C32" s="12"/>
      <c r="D32" s="12"/>
      <c r="E32" s="4"/>
      <c r="F32" s="4"/>
      <c r="G32" s="4"/>
      <c r="H32" s="4"/>
      <c r="T32" s="15"/>
      <c r="U32" s="89"/>
      <c r="V32" s="30"/>
      <c r="W32" s="31"/>
      <c r="X32" s="30"/>
      <c r="Y32" s="30"/>
      <c r="Z32" s="15"/>
      <c r="AA32" s="15"/>
      <c r="AB32" s="15"/>
      <c r="AC32" s="30"/>
      <c r="AD32" s="30">
        <v>2.35E-2</v>
      </c>
      <c r="AE32" s="31"/>
      <c r="AF32" s="30"/>
      <c r="AG32" s="30" t="s">
        <v>20</v>
      </c>
      <c r="AH32" s="15"/>
      <c r="AI32" s="15"/>
    </row>
    <row r="33" spans="1:35" x14ac:dyDescent="0.3">
      <c r="A33" s="12" t="s">
        <v>24</v>
      </c>
      <c r="B33" s="12"/>
      <c r="C33" s="12"/>
      <c r="D33" s="12"/>
      <c r="U33" s="89"/>
      <c r="V33" s="30"/>
      <c r="W33" s="31"/>
      <c r="X33" s="30"/>
      <c r="Y33" s="30"/>
      <c r="Z33" s="15"/>
      <c r="AA33" s="15"/>
      <c r="AD33" s="28">
        <v>1.9300000000000001E-2</v>
      </c>
      <c r="AG33" s="28" t="s">
        <v>21</v>
      </c>
    </row>
    <row r="34" spans="1:35" x14ac:dyDescent="0.3">
      <c r="A34" s="12" t="s">
        <v>26</v>
      </c>
      <c r="B34" s="12"/>
      <c r="C34" s="12"/>
      <c r="D34" s="12"/>
      <c r="U34" s="89"/>
      <c r="V34" s="30"/>
      <c r="W34" s="31"/>
      <c r="X34" s="30"/>
      <c r="Y34" s="30"/>
      <c r="Z34" s="15"/>
      <c r="AA34" s="15"/>
      <c r="AD34" s="28">
        <v>1.6400000000000001E-2</v>
      </c>
      <c r="AG34" s="28" t="s">
        <v>23</v>
      </c>
    </row>
    <row r="35" spans="1:35" x14ac:dyDescent="0.3">
      <c r="A35" s="12"/>
      <c r="B35" s="12"/>
      <c r="C35" s="12"/>
      <c r="D35" s="12"/>
      <c r="E35" s="12"/>
      <c r="U35" s="89"/>
      <c r="V35" s="30"/>
      <c r="W35" s="31"/>
      <c r="X35" s="30"/>
      <c r="Y35" s="30"/>
      <c r="Z35" s="15"/>
      <c r="AA35" s="15"/>
      <c r="AD35" s="28">
        <v>1.54E-2</v>
      </c>
      <c r="AG35" s="28" t="s">
        <v>25</v>
      </c>
    </row>
    <row r="36" spans="1:35" x14ac:dyDescent="0.3">
      <c r="A36" s="4" t="s">
        <v>19</v>
      </c>
      <c r="U36" s="89"/>
      <c r="V36" s="30"/>
      <c r="W36" s="31"/>
      <c r="X36" s="30"/>
      <c r="Y36" s="30"/>
      <c r="Z36" s="15"/>
      <c r="AA36" s="15"/>
    </row>
    <row r="37" spans="1:35" ht="18.75" x14ac:dyDescent="0.3">
      <c r="A37" s="16"/>
      <c r="U37" s="89"/>
      <c r="V37" s="30"/>
      <c r="W37" s="31"/>
      <c r="X37" s="30"/>
      <c r="Y37" s="30"/>
      <c r="Z37" s="15"/>
      <c r="AA37" s="15"/>
    </row>
    <row r="38" spans="1:35" s="13" customFormat="1" x14ac:dyDescent="0.3">
      <c r="A38" s="18" t="s">
        <v>27</v>
      </c>
      <c r="B38" s="18"/>
      <c r="C38" s="18"/>
      <c r="D38" s="4"/>
      <c r="E38" s="4"/>
      <c r="F38" s="4"/>
      <c r="G38" s="4"/>
      <c r="H38" s="4"/>
      <c r="I38" s="4"/>
      <c r="J38" s="4"/>
      <c r="K38" s="4"/>
      <c r="L38" s="4"/>
      <c r="T38" s="15"/>
      <c r="U38" s="89"/>
      <c r="V38" s="30"/>
      <c r="W38" s="31"/>
      <c r="X38" s="30"/>
      <c r="Y38" s="30"/>
      <c r="Z38" s="15"/>
      <c r="AA38" s="15"/>
      <c r="AB38" s="15"/>
      <c r="AC38" s="30"/>
      <c r="AD38" s="30"/>
      <c r="AE38" s="31"/>
      <c r="AF38" s="30"/>
      <c r="AG38" s="30"/>
      <c r="AH38" s="15"/>
      <c r="AI38" s="15"/>
    </row>
    <row r="39" spans="1:35" x14ac:dyDescent="0.3">
      <c r="A39" s="18" t="s">
        <v>89</v>
      </c>
      <c r="B39" s="18"/>
      <c r="C39" s="18"/>
      <c r="D39" s="18" t="s">
        <v>91</v>
      </c>
      <c r="U39" s="89"/>
      <c r="V39" s="30"/>
      <c r="W39" s="31"/>
      <c r="X39" s="30"/>
      <c r="Y39" s="30"/>
      <c r="Z39" s="15"/>
      <c r="AA39" s="15"/>
    </row>
    <row r="40" spans="1:35" x14ac:dyDescent="0.3">
      <c r="A40" s="120" t="s">
        <v>90</v>
      </c>
      <c r="B40" s="18"/>
      <c r="C40" s="18"/>
      <c r="D40" s="120" t="s">
        <v>92</v>
      </c>
      <c r="U40" s="89"/>
      <c r="V40" s="30"/>
      <c r="W40" s="31"/>
      <c r="X40" s="30"/>
      <c r="Y40" s="30"/>
      <c r="Z40" s="15"/>
      <c r="AA40" s="15"/>
    </row>
    <row r="41" spans="1:35" x14ac:dyDescent="0.3">
      <c r="A41" s="18" t="s">
        <v>99</v>
      </c>
      <c r="B41" s="18"/>
      <c r="C41" s="18"/>
      <c r="D41" s="18" t="s">
        <v>100</v>
      </c>
      <c r="U41" s="89"/>
      <c r="V41" s="30"/>
      <c r="W41" s="31"/>
      <c r="X41" s="30"/>
      <c r="Y41" s="30"/>
      <c r="Z41" s="15"/>
      <c r="AA41" s="15"/>
    </row>
    <row r="42" spans="1:35" x14ac:dyDescent="0.3">
      <c r="A42" s="4" t="s">
        <v>29</v>
      </c>
      <c r="D42" s="4" t="s">
        <v>94</v>
      </c>
      <c r="U42" s="89"/>
      <c r="V42" s="30"/>
      <c r="W42" s="31"/>
      <c r="X42" s="30"/>
      <c r="Y42" s="30"/>
      <c r="Z42" s="15"/>
      <c r="AA42" s="15"/>
    </row>
    <row r="43" spans="1:35" x14ac:dyDescent="0.3">
      <c r="U43" s="89"/>
      <c r="V43" s="30"/>
      <c r="W43" s="31"/>
      <c r="X43" s="30"/>
      <c r="Y43" s="30"/>
      <c r="Z43" s="15"/>
      <c r="AA43" s="15"/>
    </row>
    <row r="44" spans="1:35" x14ac:dyDescent="0.3">
      <c r="U44" s="89"/>
      <c r="V44" s="30"/>
      <c r="W44" s="31"/>
      <c r="X44" s="30"/>
      <c r="Y44" s="30"/>
      <c r="Z44" s="15"/>
      <c r="AA44" s="15"/>
    </row>
    <row r="45" spans="1:35" x14ac:dyDescent="0.3">
      <c r="U45" s="89"/>
      <c r="V45" s="30"/>
      <c r="W45" s="31"/>
      <c r="X45" s="30"/>
      <c r="Y45" s="30"/>
      <c r="Z45" s="15"/>
      <c r="AA45" s="15"/>
    </row>
    <row r="46" spans="1:35" x14ac:dyDescent="0.3">
      <c r="U46" s="89"/>
      <c r="V46" s="30"/>
      <c r="W46" s="31"/>
      <c r="X46" s="30"/>
      <c r="Y46" s="30"/>
      <c r="Z46" s="15"/>
      <c r="AA46" s="15"/>
    </row>
    <row r="47" spans="1:35" x14ac:dyDescent="0.3">
      <c r="U47" s="89"/>
      <c r="V47" s="30"/>
      <c r="W47" s="31"/>
      <c r="X47" s="30"/>
      <c r="Y47" s="30"/>
      <c r="Z47" s="15"/>
      <c r="AA47" s="15"/>
    </row>
    <row r="48" spans="1:35" x14ac:dyDescent="0.3">
      <c r="U48" s="89"/>
      <c r="V48" s="30"/>
      <c r="W48" s="31"/>
      <c r="X48" s="30"/>
      <c r="Y48" s="30"/>
      <c r="Z48" s="15"/>
      <c r="AA48" s="15"/>
    </row>
  </sheetData>
  <sheetProtection algorithmName="SHA-512" hashValue="sfLQlq7YvgyRYG3Pe8EWYhlxeJDxac1j0BcFFM+rH5ETnIrFG7EQKa0h0YpDC7/ZQ0n8rGgIyEsMFqPbMtztlA==" saltValue="Hnae7IKqL+rJfGaCNMDBRA==" spinCount="100000" sheet="1" selectLockedCells="1"/>
  <mergeCells count="21">
    <mergeCell ref="U24:U26"/>
    <mergeCell ref="I7:L7"/>
    <mergeCell ref="I9:L9"/>
    <mergeCell ref="I15:N15"/>
    <mergeCell ref="U19:U21"/>
    <mergeCell ref="U14:U16"/>
    <mergeCell ref="C5:E5"/>
    <mergeCell ref="A6:B6"/>
    <mergeCell ref="C6:E6"/>
    <mergeCell ref="C10:E10"/>
    <mergeCell ref="C7:E7"/>
    <mergeCell ref="A9:B9"/>
    <mergeCell ref="A10:B10"/>
    <mergeCell ref="A7:B7"/>
    <mergeCell ref="A8:B8"/>
    <mergeCell ref="C8:E8"/>
    <mergeCell ref="C21:E21"/>
    <mergeCell ref="B17:F17"/>
    <mergeCell ref="B16:F16"/>
    <mergeCell ref="C9:E9"/>
    <mergeCell ref="B12:F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D174-716C-4ABE-9620-0AC844EFF084}">
  <dimension ref="A1:X41"/>
  <sheetViews>
    <sheetView topLeftCell="Y1" workbookViewId="0">
      <selection sqref="A1:X1048576"/>
    </sheetView>
  </sheetViews>
  <sheetFormatPr defaultColWidth="14.140625" defaultRowHeight="16.5" x14ac:dyDescent="0.3"/>
  <cols>
    <col min="1" max="8" width="0" style="4" hidden="1" customWidth="1"/>
    <col min="9" max="9" width="0" style="14" hidden="1" customWidth="1"/>
    <col min="10" max="10" width="0" style="81" hidden="1" customWidth="1"/>
    <col min="11" max="11" width="0" style="28" hidden="1" customWidth="1"/>
    <col min="12" max="12" width="0" style="29" hidden="1" customWidth="1"/>
    <col min="13" max="14" width="0" style="28" hidden="1" customWidth="1"/>
    <col min="15" max="17" width="0" style="14" hidden="1" customWidth="1"/>
    <col min="18" max="19" width="0" style="28" hidden="1" customWidth="1"/>
    <col min="20" max="20" width="0" style="29" hidden="1" customWidth="1"/>
    <col min="21" max="22" width="0" style="28" hidden="1" customWidth="1"/>
    <col min="23" max="24" width="0" style="14" hidden="1" customWidth="1"/>
    <col min="25" max="16384" width="14.140625" style="4"/>
  </cols>
  <sheetData>
    <row r="1" spans="1:24" x14ac:dyDescent="0.3">
      <c r="H1" s="95">
        <v>43373</v>
      </c>
      <c r="L1" s="28"/>
      <c r="T1" s="28"/>
    </row>
    <row r="2" spans="1:24" x14ac:dyDescent="0.3">
      <c r="A2" s="10">
        <f ca="1">TODAY()</f>
        <v>43720</v>
      </c>
      <c r="B2" s="3"/>
      <c r="L2" s="28"/>
      <c r="T2" s="28"/>
    </row>
    <row r="3" spans="1:24" ht="18.75" x14ac:dyDescent="0.3">
      <c r="A3" s="11" t="s">
        <v>0</v>
      </c>
      <c r="L3" s="28"/>
      <c r="T3" s="28"/>
    </row>
    <row r="4" spans="1:24" x14ac:dyDescent="0.3">
      <c r="A4" s="2">
        <f ca="1">TODAY()</f>
        <v>43720</v>
      </c>
      <c r="B4" s="3" t="str">
        <f ca="1">IF(A4&gt;H1+0,"Rates expired.  Please contact your representative for updated rates.","")</f>
        <v>Rates expired.  Please contact your representative for updated rates.</v>
      </c>
      <c r="L4" s="28"/>
      <c r="T4" s="28"/>
    </row>
    <row r="5" spans="1:24" ht="19.5" thickBot="1" x14ac:dyDescent="0.35">
      <c r="A5" s="2"/>
      <c r="B5" s="3"/>
      <c r="C5" s="129" t="s">
        <v>65</v>
      </c>
      <c r="D5" s="129"/>
      <c r="E5" s="129"/>
    </row>
    <row r="6" spans="1:24" x14ac:dyDescent="0.3">
      <c r="A6" s="130" t="s">
        <v>1</v>
      </c>
      <c r="B6" s="131"/>
      <c r="C6" s="132">
        <f>'[1]Trade-in Promotion Calculator'!B10</f>
        <v>88000</v>
      </c>
      <c r="D6" s="133"/>
      <c r="E6" s="134"/>
      <c r="J6" s="82" t="s">
        <v>2</v>
      </c>
      <c r="K6" s="58" t="s">
        <v>3</v>
      </c>
      <c r="L6" s="9">
        <v>12</v>
      </c>
      <c r="M6" s="9">
        <v>24</v>
      </c>
      <c r="N6" s="9">
        <v>36</v>
      </c>
      <c r="O6" s="9">
        <v>48</v>
      </c>
      <c r="P6" s="9">
        <v>60</v>
      </c>
      <c r="R6" s="58" t="s">
        <v>2</v>
      </c>
      <c r="S6" s="58" t="s">
        <v>3</v>
      </c>
      <c r="T6" s="9">
        <v>12</v>
      </c>
      <c r="U6" s="9">
        <v>24</v>
      </c>
      <c r="V6" s="9">
        <v>36</v>
      </c>
      <c r="W6" s="9">
        <v>48</v>
      </c>
      <c r="X6" s="9">
        <v>60</v>
      </c>
    </row>
    <row r="7" spans="1:24" ht="17.25" thickBot="1" x14ac:dyDescent="0.35">
      <c r="A7" s="130" t="s">
        <v>4</v>
      </c>
      <c r="B7" s="131"/>
      <c r="C7" s="125" t="s">
        <v>5</v>
      </c>
      <c r="D7" s="126"/>
      <c r="E7" s="127"/>
      <c r="J7" s="83"/>
      <c r="K7" s="36"/>
      <c r="L7" s="37"/>
      <c r="M7" s="37"/>
      <c r="N7" s="37"/>
      <c r="O7" s="37"/>
      <c r="P7" s="37"/>
      <c r="R7" s="36"/>
      <c r="S7" s="36"/>
      <c r="T7" s="37"/>
      <c r="U7" s="37"/>
      <c r="V7" s="37"/>
      <c r="W7" s="37"/>
      <c r="X7" s="37"/>
    </row>
    <row r="8" spans="1:24" ht="31.5" thickBot="1" x14ac:dyDescent="0.35">
      <c r="A8" s="130" t="s">
        <v>6</v>
      </c>
      <c r="B8" s="131"/>
      <c r="C8" s="141">
        <f>'Quoting Worksheet'!C8:E8</f>
        <v>75000</v>
      </c>
      <c r="D8" s="142"/>
      <c r="E8" s="143"/>
      <c r="F8" s="7" t="str">
        <f>IF(C8&lt;5000,"$5k Minimum, Call for Quote if Lower that $5k","")</f>
        <v/>
      </c>
      <c r="J8" s="84" t="s">
        <v>7</v>
      </c>
      <c r="K8" s="65">
        <v>5000</v>
      </c>
      <c r="L8" s="66">
        <f>PMT(T8/12,12,-1,0,0)</f>
        <v>8.4921629844067759E-2</v>
      </c>
      <c r="M8" s="66">
        <f>PMT(U8/12,24,-1,0,0)</f>
        <v>4.3202722135743513E-2</v>
      </c>
      <c r="N8" s="66">
        <f>PMT(V8/12,36,-1,0,0)</f>
        <v>2.9302079726910808E-2</v>
      </c>
      <c r="O8" s="66">
        <f>PMT(W8/12,48,-1,0,0)</f>
        <v>2.2356001051697015E-2</v>
      </c>
      <c r="P8" s="67">
        <f>PMT(X8/12,60,-1,0,0)</f>
        <v>1.8191744970256402E-2</v>
      </c>
      <c r="R8" s="38" t="s">
        <v>7</v>
      </c>
      <c r="S8" s="39">
        <v>5000</v>
      </c>
      <c r="T8" s="61">
        <v>3.5000000000000003E-2</v>
      </c>
      <c r="U8" s="61">
        <v>3.5000000000000003E-2</v>
      </c>
      <c r="V8" s="61">
        <v>3.5000000000000003E-2</v>
      </c>
      <c r="W8" s="61">
        <v>3.5000000000000003E-2</v>
      </c>
      <c r="X8" s="61">
        <v>3.5000000000000003E-2</v>
      </c>
    </row>
    <row r="9" spans="1:24" ht="17.25" thickBot="1" x14ac:dyDescent="0.35">
      <c r="A9" s="130" t="s">
        <v>8</v>
      </c>
      <c r="B9" s="131"/>
      <c r="C9" s="125"/>
      <c r="D9" s="126"/>
      <c r="E9" s="127"/>
      <c r="J9" s="85"/>
      <c r="K9" s="42">
        <v>10000</v>
      </c>
      <c r="L9" s="66">
        <f>PMT(T9/12,12,-1,0,0)</f>
        <v>8.4921629844067759E-2</v>
      </c>
      <c r="M9" s="66">
        <f>PMT(U9/12,24,-1,0,0)</f>
        <v>4.3202722135743513E-2</v>
      </c>
      <c r="N9" s="66">
        <f>PMT(V9/12,36,-1,0,0)</f>
        <v>2.9302079726910808E-2</v>
      </c>
      <c r="O9" s="66">
        <f>PMT(W9/12,48,-1,0,0)</f>
        <v>2.2356001051697015E-2</v>
      </c>
      <c r="P9" s="67">
        <f>PMT(X9/12,60,-1,0,0)</f>
        <v>1.8191744970256402E-2</v>
      </c>
      <c r="R9" s="41"/>
      <c r="S9" s="42">
        <v>10000</v>
      </c>
      <c r="T9" s="61">
        <v>3.5000000000000003E-2</v>
      </c>
      <c r="U9" s="61">
        <v>3.5000000000000003E-2</v>
      </c>
      <c r="V9" s="61">
        <v>3.5000000000000003E-2</v>
      </c>
      <c r="W9" s="61">
        <v>3.5000000000000003E-2</v>
      </c>
      <c r="X9" s="61">
        <v>3.5000000000000003E-2</v>
      </c>
    </row>
    <row r="10" spans="1:24" ht="31.5" thickBot="1" x14ac:dyDescent="0.35">
      <c r="A10" s="130" t="s">
        <v>9</v>
      </c>
      <c r="B10" s="131"/>
      <c r="C10" s="135" t="s">
        <v>64</v>
      </c>
      <c r="D10" s="136"/>
      <c r="E10" s="137"/>
      <c r="J10" s="85" t="s">
        <v>63</v>
      </c>
      <c r="K10" s="42">
        <v>25000</v>
      </c>
      <c r="L10" s="66">
        <f>PMT(T10/12,12,-1,0,0)</f>
        <v>8.4921629844067759E-2</v>
      </c>
      <c r="M10" s="66">
        <f>PMT(U10/12,24,-1,0,0)</f>
        <v>4.3202722135743513E-2</v>
      </c>
      <c r="N10" s="66">
        <f>PMT(V10/12,36,-1,0,0)</f>
        <v>2.9302079726910808E-2</v>
      </c>
      <c r="O10" s="66">
        <f>PMT(W10/12,48,-1,0,0)</f>
        <v>2.2356001051697015E-2</v>
      </c>
      <c r="P10" s="67">
        <f>PMT(X10/12,60,-1,0,0)</f>
        <v>1.8191744970256402E-2</v>
      </c>
      <c r="R10" s="41"/>
      <c r="S10" s="42">
        <v>25000</v>
      </c>
      <c r="T10" s="61">
        <v>3.5000000000000003E-2</v>
      </c>
      <c r="U10" s="61">
        <v>3.5000000000000003E-2</v>
      </c>
      <c r="V10" s="61">
        <v>3.5000000000000003E-2</v>
      </c>
      <c r="W10" s="61">
        <v>3.5000000000000003E-2</v>
      </c>
      <c r="X10" s="61">
        <v>3.5000000000000003E-2</v>
      </c>
    </row>
    <row r="11" spans="1:24" ht="17.25" thickBot="1" x14ac:dyDescent="0.35">
      <c r="D11" s="26"/>
      <c r="F11" s="14"/>
      <c r="J11" s="86"/>
      <c r="K11" s="69">
        <v>50000</v>
      </c>
      <c r="L11" s="66">
        <f>PMT(T11/12,12,-1,0,0)</f>
        <v>8.4921629844067759E-2</v>
      </c>
      <c r="M11" s="66">
        <f>PMT(U11/12,24,-1,0,0)</f>
        <v>4.3202722135743513E-2</v>
      </c>
      <c r="N11" s="66">
        <f>PMT(V11/12,36,-1,0,0)</f>
        <v>2.9302079726910808E-2</v>
      </c>
      <c r="O11" s="66">
        <f>PMT(W11/12,48,-1,0,0)</f>
        <v>2.2356001051697015E-2</v>
      </c>
      <c r="P11" s="67">
        <f>PMT(X11/12,60,-1,0,0)</f>
        <v>1.8191744970256402E-2</v>
      </c>
      <c r="R11" s="43"/>
      <c r="S11" s="44">
        <v>50000</v>
      </c>
      <c r="T11" s="61">
        <v>3.5000000000000003E-2</v>
      </c>
      <c r="U11" s="61">
        <v>3.5000000000000003E-2</v>
      </c>
      <c r="V11" s="61">
        <v>3.5000000000000003E-2</v>
      </c>
      <c r="W11" s="61">
        <v>3.5000000000000003E-2</v>
      </c>
      <c r="X11" s="61">
        <v>3.5000000000000003E-2</v>
      </c>
    </row>
    <row r="12" spans="1:24" ht="17.25" thickBot="1" x14ac:dyDescent="0.35">
      <c r="B12" s="128"/>
      <c r="C12" s="128"/>
      <c r="D12" s="128"/>
      <c r="E12" s="128"/>
      <c r="F12" s="128"/>
      <c r="J12" s="87"/>
      <c r="K12" s="45"/>
      <c r="L12" s="46"/>
      <c r="M12" s="47"/>
      <c r="N12" s="47"/>
      <c r="O12" s="47"/>
      <c r="P12" s="47"/>
      <c r="R12"/>
      <c r="S12" s="45"/>
      <c r="T12" s="63"/>
      <c r="U12" s="64"/>
      <c r="V12" s="64"/>
      <c r="W12" s="64"/>
      <c r="X12" s="64"/>
    </row>
    <row r="13" spans="1:24" ht="31.5" thickBot="1" x14ac:dyDescent="0.35">
      <c r="A13" s="1"/>
      <c r="B13" s="93">
        <v>12</v>
      </c>
      <c r="C13" s="93">
        <v>24</v>
      </c>
      <c r="D13" s="93">
        <v>36</v>
      </c>
      <c r="E13" s="93">
        <v>48</v>
      </c>
      <c r="F13" s="93">
        <v>60</v>
      </c>
      <c r="J13" s="84" t="s">
        <v>11</v>
      </c>
      <c r="K13" s="65">
        <v>5000</v>
      </c>
      <c r="L13" s="66">
        <f>PMT(T13/12,12,-FV(T13/12,3,0,-1,1),0,1)</f>
        <v>9.0634649330776348E-2</v>
      </c>
      <c r="M13" s="66">
        <f>PMT(U13/12,24,-FV(U13/12,3,0,-1,1),0,1)</f>
        <v>4.8019649014952322E-2</v>
      </c>
      <c r="N13" s="66">
        <f>PMT(V13/12,36,-FV(V13/12,3,0,-1,1),0,1)</f>
        <v>3.3881917440089497E-2</v>
      </c>
      <c r="O13" s="66">
        <f>PMT(W13/12,48,-FV(W13/12,3,0,-1,1),0,1)</f>
        <v>2.6863145524109507E-2</v>
      </c>
      <c r="P13" s="66">
        <f>PMT(X13/12,60,-FV(X13/12,3,0,-1,1),0,1)</f>
        <v>2.2691561083368294E-2</v>
      </c>
      <c r="R13" s="38" t="s">
        <v>11</v>
      </c>
      <c r="S13" s="39">
        <v>5000</v>
      </c>
      <c r="T13" s="61">
        <f>'[1]Interest Buydown Modeling'!$B$9</f>
        <v>0.12</v>
      </c>
      <c r="U13" s="61">
        <f>'[1]Interest Buydown Modeling'!$B$9</f>
        <v>0.12</v>
      </c>
      <c r="V13" s="61">
        <f>'[1]Interest Buydown Modeling'!$B$9</f>
        <v>0.12</v>
      </c>
      <c r="W13" s="61">
        <f>'[1]Interest Buydown Modeling'!$B$9</f>
        <v>0.12</v>
      </c>
      <c r="X13" s="61">
        <f>'[1]Interest Buydown Modeling'!$B$9</f>
        <v>0.12</v>
      </c>
    </row>
    <row r="14" spans="1:24" ht="17.25" thickBot="1" x14ac:dyDescent="0.35">
      <c r="A14" s="93" t="s">
        <v>68</v>
      </c>
      <c r="B14" s="94">
        <f>IF($C$8&lt;20000,"N/A",$C$8*VLOOKUP($C$8,$K$8:$P$11,2))</f>
        <v>6369.1222383050817</v>
      </c>
      <c r="C14" s="94">
        <f>IF($C$8&lt;20000,"N/A",$C$8*VLOOKUP($C$8,$K$8:$P$11,3))</f>
        <v>3240.2041601807637</v>
      </c>
      <c r="D14" s="94">
        <f>IF($C$8&lt;20000,"N/A",$C$8*VLOOKUP($C$8,$K$8:$P$11,4))</f>
        <v>2197.6559795183107</v>
      </c>
      <c r="E14" s="94">
        <f>IF($C$8&lt;20000,"N/A",$C$8*VLOOKUP($C$8,$K$8:$P$11,5))</f>
        <v>1676.7000788772762</v>
      </c>
      <c r="F14" s="94">
        <f>IF($C$8&lt;20000,"N/A",$C$8*VLOOKUP($C$8,$K$8:$P$11,6))</f>
        <v>1364.3808727692301</v>
      </c>
      <c r="J14" s="144" t="s">
        <v>62</v>
      </c>
      <c r="K14" s="42">
        <v>10000</v>
      </c>
      <c r="L14" s="66">
        <f>PMT(T14/12,12,-FV(T14/12,3,0,-1,1),0,1)</f>
        <v>9.0634649330776348E-2</v>
      </c>
      <c r="M14" s="66">
        <f>PMT(U14/12,24,-FV(U14/12,3,0,-1,1),0,1)</f>
        <v>4.8019649014952322E-2</v>
      </c>
      <c r="N14" s="66">
        <f>PMT(V14/12,36,-FV(V14/12,3,0,-1,1),0,1)</f>
        <v>3.3881917440089497E-2</v>
      </c>
      <c r="O14" s="66">
        <f>PMT(W14/12,48,-FV(W14/12,3,0,-1,1),0,1)</f>
        <v>2.6863145524109507E-2</v>
      </c>
      <c r="P14" s="66">
        <f>PMT(X14/12,60,-FV(X14/12,3,0,-1,1),0,1)</f>
        <v>2.2691561083368294E-2</v>
      </c>
      <c r="R14" s="49"/>
      <c r="S14" s="42">
        <v>10000</v>
      </c>
      <c r="T14" s="61">
        <f>'[1]Interest Buydown Modeling'!$B$9</f>
        <v>0.12</v>
      </c>
      <c r="U14" s="61">
        <f>'[1]Interest Buydown Modeling'!$B$9</f>
        <v>0.12</v>
      </c>
      <c r="V14" s="61">
        <f>'[1]Interest Buydown Modeling'!$B$9</f>
        <v>0.12</v>
      </c>
      <c r="W14" s="61">
        <f>'[1]Interest Buydown Modeling'!$B$9</f>
        <v>0.12</v>
      </c>
      <c r="X14" s="61">
        <f>'[1]Interest Buydown Modeling'!$B$9</f>
        <v>0.12</v>
      </c>
    </row>
    <row r="15" spans="1:24" ht="17.25" thickBot="1" x14ac:dyDescent="0.35">
      <c r="A15" s="93" t="s">
        <v>69</v>
      </c>
      <c r="B15" s="101">
        <v>3.5000000000000003E-2</v>
      </c>
      <c r="C15" s="101">
        <v>3.5000000000000003E-2</v>
      </c>
      <c r="D15" s="101">
        <v>3.5000000000000003E-2</v>
      </c>
      <c r="E15" s="101">
        <v>3.5000000000000003E-2</v>
      </c>
      <c r="F15" s="101">
        <v>3.5000000000000003E-2</v>
      </c>
      <c r="J15" s="144"/>
      <c r="K15" s="42">
        <v>25000</v>
      </c>
      <c r="L15" s="66">
        <f>PMT(T15/12,12,-FV(T15/12,3,0,-1,1),0,1)</f>
        <v>9.0634649330776348E-2</v>
      </c>
      <c r="M15" s="66">
        <f>PMT(U15/12,24,-FV(U15/12,3,0,-1,1),0,1)</f>
        <v>4.8019649014952322E-2</v>
      </c>
      <c r="N15" s="66">
        <f>PMT(V15/12,36,-FV(V15/12,3,0,-1,1),0,1)</f>
        <v>3.3881917440089497E-2</v>
      </c>
      <c r="O15" s="66">
        <f>PMT(W15/12,48,-FV(W15/12,3,0,-1,1),0,1)</f>
        <v>2.6863145524109507E-2</v>
      </c>
      <c r="P15" s="66">
        <f>PMT(X15/12,60,-FV(X15/12,3,0,-1,1),0,1)</f>
        <v>2.2691561083368294E-2</v>
      </c>
      <c r="R15" s="49"/>
      <c r="S15" s="42">
        <v>25000</v>
      </c>
      <c r="T15" s="61">
        <f>'[1]Interest Buydown Modeling'!$B$9</f>
        <v>0.12</v>
      </c>
      <c r="U15" s="61">
        <f>'[1]Interest Buydown Modeling'!$B$9</f>
        <v>0.12</v>
      </c>
      <c r="V15" s="61">
        <f>'[1]Interest Buydown Modeling'!$B$9</f>
        <v>0.12</v>
      </c>
      <c r="W15" s="61">
        <f>'[1]Interest Buydown Modeling'!$B$9</f>
        <v>0.12</v>
      </c>
      <c r="X15" s="61">
        <f>'[1]Interest Buydown Modeling'!$B$9</f>
        <v>0.12</v>
      </c>
    </row>
    <row r="16" spans="1:24" ht="17.25" thickBot="1" x14ac:dyDescent="0.35">
      <c r="A16" s="93" t="s">
        <v>70</v>
      </c>
      <c r="B16" s="94">
        <f>$C$8-B17</f>
        <v>2362.3728173509153</v>
      </c>
      <c r="C16" s="94">
        <f>$C$8-C17</f>
        <v>2409.4153731152619</v>
      </c>
      <c r="D16" s="94">
        <f>$C$8-D17</f>
        <v>1662.681303580961</v>
      </c>
      <c r="E16" s="94">
        <f>$C$8-E17</f>
        <v>2178.4031010828476</v>
      </c>
      <c r="F16" s="94">
        <f>$C$8-F17</f>
        <v>2682.9384874794487</v>
      </c>
      <c r="G16" s="17"/>
      <c r="J16" s="145"/>
      <c r="K16" s="72">
        <v>50000</v>
      </c>
      <c r="L16" s="66">
        <f>PMT(T16/12,12,-FV(T16/12,3,0,-1,1),0,1)</f>
        <v>9.0634649330776348E-2</v>
      </c>
      <c r="M16" s="66">
        <f>PMT(U16/12,24,-FV(U16/12,3,0,-1,1),0,1)</f>
        <v>4.8019649014952322E-2</v>
      </c>
      <c r="N16" s="66">
        <f>PMT(V16/12,36,-FV(V16/12,3,0,-1,1),0,1)</f>
        <v>3.3881917440089497E-2</v>
      </c>
      <c r="O16" s="66">
        <f>PMT(W16/12,48,-FV(W16/12,3,0,-1,1),0,1)</f>
        <v>2.6863145524109507E-2</v>
      </c>
      <c r="P16" s="66">
        <f>PMT(X16/12,60,-FV(X16/12,3,0,-1,1),0,1)</f>
        <v>2.2691561083368294E-2</v>
      </c>
      <c r="R16" s="50"/>
      <c r="S16" s="42">
        <v>50000</v>
      </c>
      <c r="T16" s="61">
        <f>'[1]Interest Buydown Modeling'!$B$9</f>
        <v>0.12</v>
      </c>
      <c r="U16" s="61">
        <f>'[1]Interest Buydown Modeling'!$B$9</f>
        <v>0.12</v>
      </c>
      <c r="V16" s="61">
        <f>'[1]Interest Buydown Modeling'!$B$9</f>
        <v>0.12</v>
      </c>
      <c r="W16" s="61">
        <f>'[1]Interest Buydown Modeling'!$B$9</f>
        <v>0.12</v>
      </c>
      <c r="X16" s="61">
        <f>'[1]Interest Buydown Modeling'!$B$9</f>
        <v>0.12</v>
      </c>
    </row>
    <row r="17" spans="1:24" ht="17.25" thickBot="1" x14ac:dyDescent="0.35">
      <c r="A17" s="93" t="s">
        <v>71</v>
      </c>
      <c r="B17" s="94">
        <f>B14/VLOOKUP($C$8,$K$25:$P$28,2)</f>
        <v>72637.627182649085</v>
      </c>
      <c r="C17" s="94">
        <f>C14/VLOOKUP($C$8,$K$25:$P$28,3)</f>
        <v>72590.584626884738</v>
      </c>
      <c r="D17" s="94">
        <f>D14/VLOOKUP($C$8,$K$25:$P$28,4)</f>
        <v>73337.318696419039</v>
      </c>
      <c r="E17" s="94">
        <f>E14/VLOOKUP($C$8,$K$25:$P$28,5)</f>
        <v>72821.596898917152</v>
      </c>
      <c r="F17" s="94">
        <f>F14/VLOOKUP($C$8,$K$25:$P$28,6)</f>
        <v>72317.061512520551</v>
      </c>
      <c r="G17" s="13"/>
      <c r="J17" s="87"/>
      <c r="K17" s="45"/>
      <c r="L17" s="9">
        <v>12</v>
      </c>
      <c r="M17" s="9">
        <v>24</v>
      </c>
      <c r="N17" s="9">
        <v>36</v>
      </c>
      <c r="O17" s="9">
        <v>48</v>
      </c>
      <c r="P17" s="9">
        <v>60</v>
      </c>
      <c r="R17"/>
      <c r="S17" s="45"/>
      <c r="T17" s="9">
        <v>12</v>
      </c>
      <c r="U17" s="9">
        <v>24</v>
      </c>
      <c r="V17" s="9">
        <v>36</v>
      </c>
      <c r="W17" s="9">
        <v>48</v>
      </c>
      <c r="X17" s="9">
        <v>60</v>
      </c>
    </row>
    <row r="18" spans="1:24" ht="30.75" x14ac:dyDescent="0.3">
      <c r="G18" s="13"/>
      <c r="J18" s="88" t="s">
        <v>15</v>
      </c>
      <c r="K18" s="65">
        <v>30000</v>
      </c>
      <c r="L18" s="66">
        <f>PMT(T18/12,L17,-FV(T18/12,6,0,-1,1),0,1)</f>
        <v>9.3380969840148237E-2</v>
      </c>
      <c r="M18" s="66">
        <f>PMT(U18/12,M17,-FV(U18/12,6,0,-1,1),0,1)</f>
        <v>4.9474692399754397E-2</v>
      </c>
      <c r="N18" s="66">
        <f>PMT(V18/12,N17,-FV(V18/12,6,0,-1,1),0,1)</f>
        <v>3.4908573420441652E-2</v>
      </c>
      <c r="O18" s="66">
        <f>PMT(W18/12,O17,-FV(W18/12,6,0,-1,1),0,1)</f>
        <v>2.7677125696635559E-2</v>
      </c>
      <c r="P18" s="67">
        <f>PMT(X18/12,P17,-FV(X18/12,6,0,-1,1),0,1)</f>
        <v>2.3379138075755441E-2</v>
      </c>
      <c r="R18" s="55" t="s">
        <v>15</v>
      </c>
      <c r="S18" s="39">
        <v>30000</v>
      </c>
      <c r="T18" s="61">
        <f>'[1]Interest Buydown Modeling'!$B$9</f>
        <v>0.12</v>
      </c>
      <c r="U18" s="61">
        <f>'[1]Interest Buydown Modeling'!$B$9</f>
        <v>0.12</v>
      </c>
      <c r="V18" s="61">
        <f>'[1]Interest Buydown Modeling'!$B$9</f>
        <v>0.12</v>
      </c>
      <c r="W18" s="61">
        <f>'[1]Interest Buydown Modeling'!$B$9</f>
        <v>0.12</v>
      </c>
      <c r="X18" s="61">
        <f>'[1]Interest Buydown Modeling'!$B$9</f>
        <v>0.12</v>
      </c>
    </row>
    <row r="19" spans="1:24" s="17" customFormat="1" x14ac:dyDescent="0.3">
      <c r="G19" s="13"/>
      <c r="I19" s="27"/>
      <c r="J19" s="144" t="s">
        <v>61</v>
      </c>
      <c r="K19" s="39"/>
      <c r="L19" s="39"/>
      <c r="M19" s="39"/>
      <c r="N19" s="39"/>
      <c r="O19" s="39"/>
      <c r="P19" s="74"/>
      <c r="Q19" s="27"/>
      <c r="R19" s="56"/>
      <c r="S19" s="39"/>
      <c r="T19" s="59"/>
      <c r="U19" s="60"/>
      <c r="V19" s="60"/>
      <c r="W19" s="60"/>
      <c r="X19" s="60"/>
    </row>
    <row r="20" spans="1:24" s="13" customFormat="1" ht="15.75" x14ac:dyDescent="0.3">
      <c r="I20" s="15"/>
      <c r="J20" s="144"/>
      <c r="K20" s="39"/>
      <c r="L20" s="40"/>
      <c r="M20" s="48"/>
      <c r="N20" s="48"/>
      <c r="O20" s="48"/>
      <c r="P20" s="75"/>
      <c r="Q20" s="15"/>
      <c r="R20" s="56"/>
      <c r="S20" s="39"/>
      <c r="T20" s="59"/>
      <c r="U20" s="60"/>
      <c r="V20" s="60"/>
      <c r="W20" s="60"/>
      <c r="X20" s="60"/>
    </row>
    <row r="21" spans="1:24" s="13" customFormat="1" thickBot="1" x14ac:dyDescent="0.35">
      <c r="B21" s="93">
        <v>12</v>
      </c>
      <c r="C21" s="93">
        <v>24</v>
      </c>
      <c r="D21" s="93">
        <v>36</v>
      </c>
      <c r="E21" s="93">
        <v>48</v>
      </c>
      <c r="F21" s="93">
        <v>60</v>
      </c>
      <c r="I21" s="15"/>
      <c r="J21" s="145"/>
      <c r="K21" s="76"/>
      <c r="L21" s="70"/>
      <c r="M21" s="77"/>
      <c r="N21" s="77"/>
      <c r="O21" s="77"/>
      <c r="P21" s="78"/>
      <c r="Q21" s="15"/>
      <c r="R21" s="57"/>
      <c r="S21" s="39"/>
      <c r="T21" s="59"/>
      <c r="U21" s="60"/>
      <c r="V21" s="60"/>
      <c r="W21" s="60"/>
      <c r="X21" s="60"/>
    </row>
    <row r="22" spans="1:24" s="13" customFormat="1" x14ac:dyDescent="0.3">
      <c r="A22" s="93" t="s">
        <v>68</v>
      </c>
      <c r="B22" s="94">
        <f>IF($C$8&lt;5000,"N/A",$C$8*VLOOKUP($C$8,$K$13:$P$16,2))</f>
        <v>6797.5986998082262</v>
      </c>
      <c r="C22" s="94">
        <f>IF($C$8&lt;5000,"N/A",$C$8*VLOOKUP($C$8,$K$13:$P$16,3))</f>
        <v>3601.473676121424</v>
      </c>
      <c r="D22" s="94">
        <f>IF($C$8&lt;5000,"N/A",$C$8*VLOOKUP($C$8,$K$13:$P$16,4))</f>
        <v>2541.1438080067123</v>
      </c>
      <c r="E22" s="94">
        <f>IF($C$8&lt;5000,"N/A",$C$8*VLOOKUP($C$8,$K$13:$P$16,5))</f>
        <v>2014.7359143082131</v>
      </c>
      <c r="F22" s="94">
        <f>IF($C$8&lt;5000,"N/A",$C$8*VLOOKUP($C$8,$K$13:$P$16,6))</f>
        <v>1701.867081252622</v>
      </c>
      <c r="G22" s="4"/>
      <c r="I22" s="15"/>
      <c r="J22" s="89"/>
      <c r="K22" s="30"/>
      <c r="L22" s="31"/>
      <c r="M22" s="30"/>
      <c r="N22" s="30"/>
      <c r="O22" s="15"/>
      <c r="P22" s="15"/>
      <c r="Q22" s="15"/>
      <c r="R22" s="30"/>
      <c r="S22" s="30"/>
      <c r="T22" s="31"/>
      <c r="U22" s="30"/>
      <c r="V22" s="30"/>
      <c r="W22" s="15"/>
      <c r="X22" s="15"/>
    </row>
    <row r="23" spans="1:24" s="13" customFormat="1" x14ac:dyDescent="0.3">
      <c r="A23" s="93" t="s">
        <v>69</v>
      </c>
      <c r="B23" s="101">
        <f>RATE(B21,-B22,FV(T8/12,3,0,-C8,1),0,1)*12</f>
        <v>0.16785431918759355</v>
      </c>
      <c r="C23" s="101">
        <f>RATE(C21,-C22,FV(U8/12,3,0,-$C$8,1),0,1)*12</f>
        <v>0.14333310161944021</v>
      </c>
      <c r="D23" s="101">
        <f>RATE(D21,-D22,FV(V8/12,3,0,-$C$8,1),0,1)*12</f>
        <v>0.13565245058147118</v>
      </c>
      <c r="E23" s="101">
        <f>RATE(E21,-E22,FV(W8/12,3,0,-$C$8,1),0,1)*12</f>
        <v>0.13190559695975457</v>
      </c>
      <c r="F23" s="101">
        <f>RATE(F21,-F22,FV(X8/12,3,0,-$C$8,1),0,1)*12</f>
        <v>0.1296912416286167</v>
      </c>
      <c r="G23" s="4"/>
      <c r="I23" s="15"/>
      <c r="J23" s="82" t="s">
        <v>2</v>
      </c>
      <c r="K23" s="58" t="s">
        <v>3</v>
      </c>
      <c r="L23" s="9">
        <v>12</v>
      </c>
      <c r="M23" s="9">
        <v>24</v>
      </c>
      <c r="N23" s="9">
        <v>36</v>
      </c>
      <c r="O23" s="9">
        <v>48</v>
      </c>
      <c r="P23" s="9">
        <v>60</v>
      </c>
      <c r="Q23" s="14"/>
      <c r="R23" s="58" t="s">
        <v>2</v>
      </c>
      <c r="S23" s="58" t="s">
        <v>3</v>
      </c>
      <c r="T23" s="9">
        <v>12</v>
      </c>
      <c r="U23" s="9">
        <v>24</v>
      </c>
      <c r="V23" s="9">
        <v>36</v>
      </c>
      <c r="W23" s="9">
        <v>48</v>
      </c>
      <c r="X23" s="9">
        <v>60</v>
      </c>
    </row>
    <row r="24" spans="1:24" s="13" customFormat="1" ht="17.25" thickBot="1" x14ac:dyDescent="0.35">
      <c r="A24" s="93" t="s">
        <v>70</v>
      </c>
      <c r="B24" s="94">
        <f>$C$8-B25</f>
        <v>-1311.2089128266234</v>
      </c>
      <c r="C24" s="94">
        <f>$C$8-C25</f>
        <v>-4790.6550080138695</v>
      </c>
      <c r="D24" s="94">
        <f>$C$8-D25</f>
        <v>-9098.8715245505591</v>
      </c>
      <c r="E24" s="94">
        <f>$C$8-E25</f>
        <v>-11779.780683506047</v>
      </c>
      <c r="F24" s="94">
        <f>$C$8-F25</f>
        <v>-14459.484854719209</v>
      </c>
      <c r="I24" s="15"/>
      <c r="J24" s="83"/>
      <c r="K24" s="36"/>
      <c r="L24" s="37"/>
      <c r="M24" s="37"/>
      <c r="N24" s="37"/>
      <c r="O24" s="37"/>
      <c r="P24" s="37"/>
      <c r="Q24" s="14"/>
      <c r="R24" s="36"/>
      <c r="S24" s="36"/>
      <c r="T24" s="37"/>
      <c r="U24" s="37"/>
      <c r="V24" s="37"/>
      <c r="W24" s="37"/>
      <c r="X24" s="37"/>
    </row>
    <row r="25" spans="1:24" s="13" customFormat="1" ht="31.5" thickBot="1" x14ac:dyDescent="0.35">
      <c r="A25" s="93" t="s">
        <v>71</v>
      </c>
      <c r="B25" s="94">
        <f>B22/VLOOKUP($C$8,$K$30:$P$33,2)</f>
        <v>76311.208912826623</v>
      </c>
      <c r="C25" s="94">
        <f>C22/VLOOKUP($C$8,$K$30:$P$33,3)</f>
        <v>79790.65500801387</v>
      </c>
      <c r="D25" s="94">
        <f>D22/VLOOKUP($C$8,$K$30:$P$33,4)</f>
        <v>84098.871524550559</v>
      </c>
      <c r="E25" s="94">
        <f>E22/VLOOKUP($C$8,$K$30:$P$33,5)</f>
        <v>86779.780683506047</v>
      </c>
      <c r="F25" s="94">
        <f>F22/VLOOKUP($C$8,$K$30:$P$33,6)</f>
        <v>89459.484854719209</v>
      </c>
      <c r="I25" s="15"/>
      <c r="J25" s="84" t="s">
        <v>7</v>
      </c>
      <c r="K25" s="65">
        <v>5000</v>
      </c>
      <c r="L25" s="66">
        <f>PMT(T25/12,12,-1,0,0)</f>
        <v>8.8544999606872024E-2</v>
      </c>
      <c r="M25" s="66">
        <f>PMT(U25/12,24,-1,0,0)</f>
        <v>4.5914492988925318E-2</v>
      </c>
      <c r="N25" s="66">
        <f>PMT(V25/12,36,-1,0,0)</f>
        <v>3.1567537423557397E-2</v>
      </c>
      <c r="O25" s="66">
        <f>PMT(W25/12,48,-1,0,0)</f>
        <v>2.4648303358835708E-2</v>
      </c>
      <c r="P25" s="67">
        <f>PMT(X25/12,60,-1,0,0)</f>
        <v>2.0516531327051248E-2</v>
      </c>
      <c r="Q25" s="14"/>
      <c r="R25" s="38" t="s">
        <v>7</v>
      </c>
      <c r="S25" s="39">
        <v>5000</v>
      </c>
      <c r="T25" s="61">
        <v>0.1135</v>
      </c>
      <c r="U25" s="61">
        <v>9.5000000000000001E-2</v>
      </c>
      <c r="V25" s="61">
        <v>8.5000000000000006E-2</v>
      </c>
      <c r="W25" s="61">
        <v>8.5000000000000006E-2</v>
      </c>
      <c r="X25" s="61">
        <v>8.5000000000000006E-2</v>
      </c>
    </row>
    <row r="26" spans="1:24" s="13" customFormat="1" ht="17.25" thickBot="1" x14ac:dyDescent="0.35">
      <c r="I26" s="15"/>
      <c r="J26" s="85"/>
      <c r="K26" s="42">
        <v>10000</v>
      </c>
      <c r="L26" s="66">
        <f>PMT(T26/12,12,-1,0,0)</f>
        <v>8.7683511773997913E-2</v>
      </c>
      <c r="M26" s="66">
        <f>PMT(U26/12,24,-1,0,0)</f>
        <v>4.5455674881386042E-2</v>
      </c>
      <c r="N26" s="66">
        <f>PMT(V26/12,36,-1,0,0)</f>
        <v>3.0872524913730007E-2</v>
      </c>
      <c r="O26" s="66">
        <f>PMT(W26/12,48,-1,0,0)</f>
        <v>2.3941605437593785E-2</v>
      </c>
      <c r="P26" s="67">
        <f>PMT(X26/12,60,-1,0,0)</f>
        <v>1.9796480863209995E-2</v>
      </c>
      <c r="Q26" s="14"/>
      <c r="R26" s="41"/>
      <c r="S26" s="42">
        <v>10000</v>
      </c>
      <c r="T26" s="61">
        <v>9.5000000000000001E-2</v>
      </c>
      <c r="U26" s="61">
        <v>8.5000000000000006E-2</v>
      </c>
      <c r="V26" s="61">
        <v>6.9900000000000004E-2</v>
      </c>
      <c r="W26" s="61">
        <v>6.9900000000000004E-2</v>
      </c>
      <c r="X26" s="61">
        <v>6.9900000000000004E-2</v>
      </c>
    </row>
    <row r="27" spans="1:24" ht="31.5" thickBot="1" x14ac:dyDescent="0.35">
      <c r="B27" s="96"/>
      <c r="C27" s="96"/>
      <c r="D27" s="96"/>
      <c r="E27" s="96"/>
      <c r="F27" s="96"/>
      <c r="J27" s="85" t="s">
        <v>63</v>
      </c>
      <c r="K27" s="42">
        <v>25000</v>
      </c>
      <c r="L27" s="66">
        <f>PMT(T27/12,12,-1,0,0)</f>
        <v>8.7683511773997913E-2</v>
      </c>
      <c r="M27" s="66">
        <f>PMT(U27/12,24,-1,0,0)</f>
        <v>4.4636700156575372E-2</v>
      </c>
      <c r="N27" s="66">
        <f>PMT(V27/12,36,-1,0,0)</f>
        <v>2.9966407534144267E-2</v>
      </c>
      <c r="O27" s="66">
        <f>PMT(W27/12,48,-1,0,0)</f>
        <v>2.3024763947496026E-2</v>
      </c>
      <c r="P27" s="67">
        <f>PMT(X27/12,60,-1,0,0)</f>
        <v>1.8866652546895995E-2</v>
      </c>
      <c r="R27" s="41"/>
      <c r="S27" s="42">
        <v>25000</v>
      </c>
      <c r="T27" s="62">
        <v>9.5000000000000001E-2</v>
      </c>
      <c r="U27" s="62">
        <v>6.7000000000000004E-2</v>
      </c>
      <c r="V27" s="62">
        <v>4.99E-2</v>
      </c>
      <c r="W27" s="62">
        <v>4.99E-2</v>
      </c>
      <c r="X27" s="62">
        <v>4.99E-2</v>
      </c>
    </row>
    <row r="28" spans="1:24" ht="17.25" thickBot="1" x14ac:dyDescent="0.35">
      <c r="B28" s="93">
        <v>12</v>
      </c>
      <c r="C28" s="93">
        <v>24</v>
      </c>
      <c r="D28" s="93">
        <v>36</v>
      </c>
      <c r="E28" s="93">
        <v>48</v>
      </c>
      <c r="F28" s="93">
        <v>60</v>
      </c>
      <c r="J28" s="86"/>
      <c r="K28" s="69">
        <v>50000</v>
      </c>
      <c r="L28" s="66">
        <f>PMT(T28/12,12,-1,0,0)</f>
        <v>8.7683511773997913E-2</v>
      </c>
      <c r="M28" s="66">
        <f>PMT(U28/12,24,-1,0,0)</f>
        <v>4.4636700156575372E-2</v>
      </c>
      <c r="N28" s="66">
        <f>PMT(V28/12,36,-1,0,0)</f>
        <v>2.9966407534144267E-2</v>
      </c>
      <c r="O28" s="66">
        <f>PMT(W28/12,48,-1,0,0)</f>
        <v>2.3024763947496026E-2</v>
      </c>
      <c r="P28" s="67">
        <f>PMT(X28/12,60,-1,0,0)</f>
        <v>1.8866652546895995E-2</v>
      </c>
      <c r="R28" s="43"/>
      <c r="S28" s="44">
        <v>50000</v>
      </c>
      <c r="T28" s="62">
        <v>9.5000000000000001E-2</v>
      </c>
      <c r="U28" s="62">
        <v>6.7000000000000004E-2</v>
      </c>
      <c r="V28" s="62">
        <v>4.99E-2</v>
      </c>
      <c r="W28" s="62">
        <v>4.99E-2</v>
      </c>
      <c r="X28" s="62">
        <v>4.99E-2</v>
      </c>
    </row>
    <row r="29" spans="1:24" ht="17.25" thickBot="1" x14ac:dyDescent="0.35">
      <c r="A29" s="93" t="s">
        <v>68</v>
      </c>
      <c r="B29" s="94">
        <f>$C$8*L18</f>
        <v>7003.5727380111175</v>
      </c>
      <c r="C29" s="94">
        <f>$C$8*M18</f>
        <v>3710.6019299815798</v>
      </c>
      <c r="D29" s="94">
        <f>$C$8*N18</f>
        <v>2618.1430065331238</v>
      </c>
      <c r="E29" s="94">
        <f>$C$8*O18</f>
        <v>2075.7844272476668</v>
      </c>
      <c r="F29" s="94">
        <f>$C$8*P18</f>
        <v>1753.4353556816582</v>
      </c>
      <c r="J29" s="87"/>
      <c r="K29" s="45"/>
      <c r="L29" s="46"/>
      <c r="M29" s="47"/>
      <c r="N29" s="47"/>
      <c r="O29" s="47"/>
      <c r="P29" s="47"/>
      <c r="R29"/>
      <c r="S29" s="45"/>
      <c r="T29" s="63"/>
      <c r="U29" s="64"/>
      <c r="V29" s="64"/>
      <c r="W29" s="64"/>
      <c r="X29" s="64"/>
    </row>
    <row r="30" spans="1:24" ht="31.5" thickBot="1" x14ac:dyDescent="0.35">
      <c r="A30" s="93" t="s">
        <v>69</v>
      </c>
      <c r="B30" s="101">
        <f>RATE(B28,-B29,FV(T8/12,6,0,-$C$8,1),0,1)*12</f>
        <v>0.21632450878160131</v>
      </c>
      <c r="C30" s="101">
        <f>RATE(C28,-C29,FV(U8/12,6,0,-$C$8,1),0,1)*12</f>
        <v>0.16690926609943893</v>
      </c>
      <c r="D30" s="101">
        <f>RATE(D28,-D29,FV(V8/12,6,0,-$C$8,1),0,1)*12</f>
        <v>0.1514592498726311</v>
      </c>
      <c r="E30" s="101">
        <f>RATE(E28,-E29,FV(W8/12,6,0,-$C$8,1),0,1)*12</f>
        <v>0.14392729506847912</v>
      </c>
      <c r="F30" s="101">
        <f>RATE(F28,-F29,FV(X8/12,6,0,-$C$8,1),0,1)*12</f>
        <v>0.13947764992889233</v>
      </c>
      <c r="J30" s="84" t="s">
        <v>11</v>
      </c>
      <c r="K30" s="65">
        <v>5000</v>
      </c>
      <c r="L30" s="66">
        <f>PMT(T30/12,12,-FV(T30/12,3,0,-1,1),0,1)</f>
        <v>9.0227897091249162E-2</v>
      </c>
      <c r="M30" s="66">
        <f>PMT(U30/12,24,-FV(U30/12,3,0,-1,1),0,1)</f>
        <v>4.6644350088327902E-2</v>
      </c>
      <c r="N30" s="66">
        <f>PMT(V30/12,36,-FV(V30/12,3,0,-1,1),0,1)</f>
        <v>3.2016328061070881E-2</v>
      </c>
      <c r="O30" s="66">
        <f>PMT(W30/12,48,-FV(W30/12,3,0,-1,1),0,1)</f>
        <v>2.4998724350806488E-2</v>
      </c>
      <c r="P30" s="66">
        <f>PMT(X30/12,60,-FV(X30/12,3,0,-1,1),0,1)</f>
        <v>2.080821157598196E-2</v>
      </c>
      <c r="R30" s="38" t="s">
        <v>11</v>
      </c>
      <c r="S30" s="39">
        <v>5000</v>
      </c>
      <c r="T30" s="61">
        <v>0.1135</v>
      </c>
      <c r="U30" s="61">
        <v>9.5000000000000001E-2</v>
      </c>
      <c r="V30" s="61">
        <v>8.5000000000000006E-2</v>
      </c>
      <c r="W30" s="61">
        <v>8.5000000000000006E-2</v>
      </c>
      <c r="X30" s="61">
        <v>8.5000000000000006E-2</v>
      </c>
    </row>
    <row r="31" spans="1:24" ht="17.25" thickBot="1" x14ac:dyDescent="0.35">
      <c r="A31" s="93" t="s">
        <v>70</v>
      </c>
      <c r="B31" s="94">
        <f>$C$8-B32</f>
        <v>0</v>
      </c>
      <c r="C31" s="94">
        <f>$C$8-C32</f>
        <v>-3800.5434312993457</v>
      </c>
      <c r="D31" s="94">
        <f>$C$8-D32</f>
        <v>-10167.094037378862</v>
      </c>
      <c r="E31" s="94">
        <f>$C$8-E32</f>
        <v>-12779.236625672929</v>
      </c>
      <c r="F31" s="94">
        <f>$C$8-F32</f>
        <v>-15385.838961450834</v>
      </c>
      <c r="J31" s="144" t="s">
        <v>62</v>
      </c>
      <c r="K31" s="42">
        <v>10000</v>
      </c>
      <c r="L31" s="66">
        <f>PMT(T31/12,12,-FV(T31/12,3,0,-1,1),0,1)</f>
        <v>8.9077329486070625E-2</v>
      </c>
      <c r="M31" s="66">
        <f>PMT(U31/12,24,-FV(U31/12,3,0,-1,1),0,1)</f>
        <v>4.6101910950893298E-2</v>
      </c>
      <c r="N31" s="66">
        <f>PMT(V31/12,36,-FV(V31/12,3,0,-1,1),0,1)</f>
        <v>3.1233237353040608E-2</v>
      </c>
      <c r="O31" s="66">
        <f>PMT(W31/12,48,-FV(W31/12,3,0,-1,1),0,1)</f>
        <v>2.4221337494577749E-2</v>
      </c>
      <c r="P31" s="66">
        <f>PMT(X31/12,60,-FV(X31/12,3,0,-1,1),0,1)</f>
        <v>2.0027781572234879E-2</v>
      </c>
      <c r="R31" s="49"/>
      <c r="S31" s="42">
        <v>10000</v>
      </c>
      <c r="T31" s="61">
        <v>9.5000000000000001E-2</v>
      </c>
      <c r="U31" s="61">
        <v>8.5000000000000006E-2</v>
      </c>
      <c r="V31" s="61">
        <v>6.9900000000000004E-2</v>
      </c>
      <c r="W31" s="61">
        <v>6.9900000000000004E-2</v>
      </c>
      <c r="X31" s="61">
        <v>6.9900000000000004E-2</v>
      </c>
    </row>
    <row r="32" spans="1:24" s="13" customFormat="1" ht="17.25" thickBot="1" x14ac:dyDescent="0.35">
      <c r="A32" s="93" t="s">
        <v>71</v>
      </c>
      <c r="B32" s="94">
        <f>B29/L35</f>
        <v>75000</v>
      </c>
      <c r="C32" s="94">
        <f>C29/M35</f>
        <v>78800.543431299346</v>
      </c>
      <c r="D32" s="94">
        <f>D29/N35</f>
        <v>85167.094037378862</v>
      </c>
      <c r="E32" s="94">
        <f>E29/O35</f>
        <v>87779.236625672929</v>
      </c>
      <c r="F32" s="94">
        <f>F29/P35</f>
        <v>90385.838961450834</v>
      </c>
      <c r="G32" s="4"/>
      <c r="I32" s="15"/>
      <c r="J32" s="144"/>
      <c r="K32" s="42">
        <v>25000</v>
      </c>
      <c r="L32" s="66">
        <f>PMT(T32/12,12,-FV(T32/12,3,0,-1,1),0,1)</f>
        <v>8.9077329486070625E-2</v>
      </c>
      <c r="M32" s="66">
        <f>PMT(U32/12,24,-FV(U32/12,3,0,-1,1),0,1)</f>
        <v>4.5136534795455756E-2</v>
      </c>
      <c r="N32" s="66">
        <f>PMT(V32/12,36,-FV(V32/12,3,0,-1,1),0,1)</f>
        <v>3.0216146328014507E-2</v>
      </c>
      <c r="O32" s="66">
        <f>PMT(W32/12,48,-FV(W32/12,3,0,-1,1),0,1)</f>
        <v>2.3216651372468235E-2</v>
      </c>
      <c r="P32" s="66">
        <f>PMT(X32/12,60,-FV(X32/12,3,0,-1,1),0,1)</f>
        <v>1.9023886444421486E-2</v>
      </c>
      <c r="Q32" s="14"/>
      <c r="R32" s="49"/>
      <c r="S32" s="42">
        <v>25000</v>
      </c>
      <c r="T32" s="62">
        <v>9.5000000000000001E-2</v>
      </c>
      <c r="U32" s="62">
        <v>6.7000000000000004E-2</v>
      </c>
      <c r="V32" s="62">
        <v>4.99E-2</v>
      </c>
      <c r="W32" s="62">
        <v>4.99E-2</v>
      </c>
      <c r="X32" s="62">
        <v>4.99E-2</v>
      </c>
    </row>
    <row r="33" spans="10:24" ht="17.25" thickBot="1" x14ac:dyDescent="0.35">
      <c r="J33" s="145"/>
      <c r="K33" s="72">
        <v>50000</v>
      </c>
      <c r="L33" s="66">
        <f>PMT(T33/12,12,-FV(T33/12,3,0,-1,1),0,1)</f>
        <v>8.9077329486070625E-2</v>
      </c>
      <c r="M33" s="66">
        <f>PMT(U33/12,24,-FV(U33/12,3,0,-1,1),0,1)</f>
        <v>4.5136534795455756E-2</v>
      </c>
      <c r="N33" s="66">
        <f>PMT(V33/12,36,-FV(V33/12,3,0,-1,1),0,1)</f>
        <v>3.0216146328014507E-2</v>
      </c>
      <c r="O33" s="66">
        <f>PMT(W33/12,48,-FV(W33/12,3,0,-1,1),0,1)</f>
        <v>2.3216651372468235E-2</v>
      </c>
      <c r="P33" s="66">
        <f>PMT(X33/12,60,-FV(X33/12,3,0,-1,1),0,1)</f>
        <v>1.9023886444421486E-2</v>
      </c>
      <c r="R33" s="50"/>
      <c r="S33" s="42">
        <v>50000</v>
      </c>
      <c r="T33" s="62">
        <v>9.5000000000000001E-2</v>
      </c>
      <c r="U33" s="62">
        <v>6.7000000000000004E-2</v>
      </c>
      <c r="V33" s="62">
        <v>4.99E-2</v>
      </c>
      <c r="W33" s="62">
        <v>4.99E-2</v>
      </c>
      <c r="X33" s="62">
        <v>4.99E-2</v>
      </c>
    </row>
    <row r="34" spans="10:24" ht="17.25" thickBot="1" x14ac:dyDescent="0.35">
      <c r="J34" s="87"/>
      <c r="K34" s="45"/>
      <c r="L34" s="9">
        <v>12</v>
      </c>
      <c r="M34" s="9">
        <v>24</v>
      </c>
      <c r="N34" s="9">
        <v>36</v>
      </c>
      <c r="O34" s="9">
        <v>48</v>
      </c>
      <c r="P34" s="9">
        <v>60</v>
      </c>
      <c r="R34"/>
      <c r="S34" s="45"/>
      <c r="T34" s="9">
        <v>12</v>
      </c>
      <c r="U34" s="9">
        <v>24</v>
      </c>
      <c r="V34" s="9">
        <v>36</v>
      </c>
      <c r="W34" s="9">
        <v>48</v>
      </c>
      <c r="X34" s="9">
        <v>60</v>
      </c>
    </row>
    <row r="35" spans="10:24" ht="30.75" x14ac:dyDescent="0.3">
      <c r="J35" s="88" t="s">
        <v>15</v>
      </c>
      <c r="K35" s="65">
        <v>30000</v>
      </c>
      <c r="L35" s="66">
        <f>PMT(T35/12,L34,-FV(T35/12,6,0,-1,1),0,1)</f>
        <v>9.3380969840148237E-2</v>
      </c>
      <c r="M35" s="66">
        <f>PMT(U35/12,M34,-FV(U35/12,6,0,-1,1),0,1)</f>
        <v>4.7088532241108115E-2</v>
      </c>
      <c r="N35" s="66">
        <f>PMT(V35/12,N34,-FV(V35/12,6,0,-1,1),0,1)</f>
        <v>3.0741250903594888E-2</v>
      </c>
      <c r="O35" s="66">
        <f>PMT(W35/12,O34,-FV(W35/12,6,0,-1,1),0,1)</f>
        <v>2.364778399816431E-2</v>
      </c>
      <c r="P35" s="67">
        <f>PMT(X35/12,P34,-FV(X35/12,6,0,-1,1),0,1)</f>
        <v>1.9399447699207512E-2</v>
      </c>
      <c r="R35" s="55" t="s">
        <v>15</v>
      </c>
      <c r="S35" s="39">
        <v>30000</v>
      </c>
      <c r="T35" s="62">
        <v>0.12</v>
      </c>
      <c r="U35" s="62">
        <v>8.5000000000000006E-2</v>
      </c>
      <c r="V35" s="62">
        <v>5.2400000000000002E-2</v>
      </c>
      <c r="W35" s="62">
        <v>5.2400000000000002E-2</v>
      </c>
      <c r="X35" s="62">
        <v>5.2400000000000002E-2</v>
      </c>
    </row>
    <row r="36" spans="10:24" x14ac:dyDescent="0.3">
      <c r="J36" s="144" t="s">
        <v>61</v>
      </c>
      <c r="K36" s="39"/>
      <c r="L36" s="39"/>
      <c r="M36" s="39"/>
      <c r="N36" s="39"/>
      <c r="O36" s="39"/>
      <c r="P36" s="74"/>
      <c r="Q36" s="27"/>
      <c r="R36" s="56"/>
      <c r="S36" s="39"/>
      <c r="T36" s="59"/>
      <c r="U36" s="60"/>
      <c r="V36" s="60"/>
      <c r="W36" s="60"/>
      <c r="X36" s="60"/>
    </row>
    <row r="37" spans="10:24" x14ac:dyDescent="0.3">
      <c r="J37" s="144"/>
      <c r="K37" s="39"/>
      <c r="L37" s="40"/>
      <c r="M37" s="48"/>
      <c r="N37" s="48"/>
      <c r="O37" s="48"/>
      <c r="P37" s="75"/>
      <c r="Q37" s="15"/>
      <c r="R37" s="56"/>
      <c r="S37" s="39"/>
      <c r="T37" s="59"/>
      <c r="U37" s="60"/>
      <c r="V37" s="60"/>
      <c r="W37" s="60"/>
      <c r="X37" s="60"/>
    </row>
    <row r="38" spans="10:24" ht="17.25" thickBot="1" x14ac:dyDescent="0.35">
      <c r="J38" s="145"/>
      <c r="K38" s="76"/>
      <c r="L38" s="70"/>
      <c r="M38" s="77"/>
      <c r="N38" s="77"/>
      <c r="O38" s="77"/>
      <c r="P38" s="78"/>
      <c r="Q38" s="15"/>
      <c r="R38" s="57"/>
      <c r="S38" s="39"/>
      <c r="T38" s="59"/>
      <c r="U38" s="60"/>
      <c r="V38" s="60"/>
      <c r="W38" s="60"/>
      <c r="X38" s="60"/>
    </row>
    <row r="39" spans="10:24" x14ac:dyDescent="0.3">
      <c r="J39" s="89"/>
      <c r="K39" s="30"/>
      <c r="L39" s="31"/>
      <c r="M39" s="30"/>
      <c r="N39" s="30"/>
      <c r="O39" s="15"/>
      <c r="P39" s="15"/>
    </row>
    <row r="40" spans="10:24" x14ac:dyDescent="0.3">
      <c r="J40" s="89"/>
      <c r="K40" s="30"/>
      <c r="L40" s="31"/>
      <c r="M40" s="30"/>
      <c r="N40" s="30"/>
      <c r="O40" s="15"/>
      <c r="P40" s="15"/>
    </row>
    <row r="41" spans="10:24" x14ac:dyDescent="0.3">
      <c r="J41" s="89"/>
      <c r="K41" s="30"/>
      <c r="L41" s="31"/>
      <c r="M41" s="30"/>
      <c r="N41" s="30"/>
      <c r="O41" s="15"/>
      <c r="P41" s="15"/>
    </row>
  </sheetData>
  <sheetProtection algorithmName="SHA-512" hashValue="0nnFccqJWvz8SLaHKZtpxgcHwkNKFxTSlkoidZ4GwvUTDMFupHFCVFqC2D+qk3LD+47lxOUmm3qg0djC9H/zKg==" saltValue="K1XBa/P3UCaWb69ckDzlPQ==" spinCount="100000" sheet="1" objects="1" scenarios="1"/>
  <mergeCells count="16">
    <mergeCell ref="J19:J21"/>
    <mergeCell ref="J31:J33"/>
    <mergeCell ref="J36:J38"/>
    <mergeCell ref="A9:B9"/>
    <mergeCell ref="C9:E9"/>
    <mergeCell ref="A10:B10"/>
    <mergeCell ref="C10:E10"/>
    <mergeCell ref="B12:F12"/>
    <mergeCell ref="J14:J16"/>
    <mergeCell ref="A8:B8"/>
    <mergeCell ref="C8:E8"/>
    <mergeCell ref="C5:E5"/>
    <mergeCell ref="A6:B6"/>
    <mergeCell ref="C6:E6"/>
    <mergeCell ref="A7:B7"/>
    <mergeCell ref="C7:E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showGridLines="0" showRowColHeaders="0" workbookViewId="0">
      <selection activeCell="G16" sqref="G16:G17"/>
    </sheetView>
  </sheetViews>
  <sheetFormatPr defaultColWidth="9.140625" defaultRowHeight="17.25" x14ac:dyDescent="0.3"/>
  <cols>
    <col min="1" max="1" width="27.28515625" style="54" customWidth="1"/>
    <col min="2" max="2" width="10.28515625" style="54" bestFit="1" customWidth="1"/>
    <col min="3" max="7" width="9.5703125" style="54" bestFit="1" customWidth="1"/>
    <col min="8" max="8" width="14.42578125" style="54" hidden="1" customWidth="1"/>
    <col min="9" max="13" width="0" style="54" hidden="1" customWidth="1"/>
    <col min="14" max="16384" width="9.140625" style="54"/>
  </cols>
  <sheetData>
    <row r="1" spans="1:7" ht="17.25" customHeight="1" x14ac:dyDescent="0.3"/>
    <row r="4" spans="1:7" ht="18" thickBot="1" x14ac:dyDescent="0.35">
      <c r="A4" s="82" t="s">
        <v>2</v>
      </c>
      <c r="B4" s="58"/>
      <c r="C4" s="9">
        <v>36</v>
      </c>
      <c r="D4" s="9">
        <v>48</v>
      </c>
      <c r="E4" s="9">
        <v>60</v>
      </c>
      <c r="F4" s="9">
        <v>72</v>
      </c>
      <c r="G4" s="9">
        <v>84</v>
      </c>
    </row>
    <row r="5" spans="1:7" x14ac:dyDescent="0.3">
      <c r="A5" s="84" t="s">
        <v>7</v>
      </c>
      <c r="B5" s="65">
        <v>5000</v>
      </c>
      <c r="C5" s="66">
        <v>3.1781119417941407E-2</v>
      </c>
      <c r="D5" s="66">
        <v>2.4648303358835708E-2</v>
      </c>
      <c r="E5" s="66">
        <v>2.0516531327051248E-2</v>
      </c>
      <c r="F5" s="66">
        <v>1.7901710281680874E-2</v>
      </c>
      <c r="G5" s="67">
        <v>1.5962492312958213E-2</v>
      </c>
    </row>
    <row r="6" spans="1:7" x14ac:dyDescent="0.3">
      <c r="A6" s="85"/>
      <c r="B6" s="42">
        <v>10000</v>
      </c>
      <c r="C6" s="40">
        <v>3.0872524913730007E-2</v>
      </c>
      <c r="D6" s="40">
        <v>2.3941605437593785E-2</v>
      </c>
      <c r="E6" s="40">
        <v>1.9796480863209995E-2</v>
      </c>
      <c r="F6" s="40">
        <v>1.7164484441814364E-2</v>
      </c>
      <c r="G6" s="68">
        <v>1.5210273009663563E-2</v>
      </c>
    </row>
    <row r="7" spans="1:7" x14ac:dyDescent="0.3">
      <c r="A7" s="85" t="s">
        <v>63</v>
      </c>
      <c r="B7" s="42">
        <v>25000</v>
      </c>
      <c r="C7" s="40">
        <v>3.0083270514641203E-2</v>
      </c>
      <c r="D7" s="40">
        <v>2.3142712751019579E-2</v>
      </c>
      <c r="E7" s="40">
        <v>1.8985983843426729E-2</v>
      </c>
      <c r="F7" s="40">
        <v>1.6221153747699609E-2</v>
      </c>
      <c r="G7" s="68">
        <v>1.4251678095104992E-2</v>
      </c>
    </row>
    <row r="8" spans="1:7" ht="18" thickBot="1" x14ac:dyDescent="0.35">
      <c r="A8" s="86"/>
      <c r="B8" s="69">
        <v>50000</v>
      </c>
      <c r="C8" s="70">
        <v>3.0083270514641203E-2</v>
      </c>
      <c r="D8" s="70">
        <v>2.3142712751019579E-2</v>
      </c>
      <c r="E8" s="70">
        <v>1.8985983843426729E-2</v>
      </c>
      <c r="F8" s="70">
        <v>1.6221153747699609E-2</v>
      </c>
      <c r="G8" s="71">
        <v>1.4251678095104992E-2</v>
      </c>
    </row>
    <row r="9" spans="1:7" x14ac:dyDescent="0.3">
      <c r="A9" s="84" t="s">
        <v>11</v>
      </c>
      <c r="B9" s="65">
        <v>5000</v>
      </c>
      <c r="C9" s="66">
        <v>3.2257489300635912E-2</v>
      </c>
      <c r="D9" s="66">
        <v>2.5128998252384759E-2</v>
      </c>
      <c r="E9" s="66">
        <v>2.0939289599289625E-2</v>
      </c>
      <c r="F9" s="66">
        <v>1.8163728695298056E-2</v>
      </c>
      <c r="G9" s="67"/>
    </row>
    <row r="10" spans="1:7" x14ac:dyDescent="0.3">
      <c r="A10" s="144" t="s">
        <v>62</v>
      </c>
      <c r="B10" s="42">
        <v>10000</v>
      </c>
      <c r="C10" s="40">
        <v>3.1361984077612398E-2</v>
      </c>
      <c r="D10" s="40">
        <v>2.43489224585564E-2</v>
      </c>
      <c r="E10" s="40">
        <v>2.0155654764284939E-2</v>
      </c>
      <c r="F10" s="40">
        <v>1.7372227360384258E-2</v>
      </c>
      <c r="G10" s="68"/>
    </row>
    <row r="11" spans="1:7" x14ac:dyDescent="0.3">
      <c r="A11" s="144"/>
      <c r="B11" s="42">
        <v>25000</v>
      </c>
      <c r="C11" s="40">
        <v>3.0342032091463595E-2</v>
      </c>
      <c r="D11" s="40">
        <v>2.3340683930346946E-2</v>
      </c>
      <c r="E11" s="40">
        <v>1.9147518313159816E-2</v>
      </c>
      <c r="F11" s="40">
        <v>1.6358428334187668E-2</v>
      </c>
      <c r="G11" s="68"/>
    </row>
    <row r="12" spans="1:7" ht="18" thickBot="1" x14ac:dyDescent="0.35">
      <c r="A12" s="145"/>
      <c r="B12" s="72">
        <v>50000</v>
      </c>
      <c r="C12" s="70">
        <v>3.0342032091463595E-2</v>
      </c>
      <c r="D12" s="70">
        <v>2.3340683930346946E-2</v>
      </c>
      <c r="E12" s="70">
        <v>1.9147518313159816E-2</v>
      </c>
      <c r="F12" s="70">
        <v>1.6358428334187668E-2</v>
      </c>
      <c r="G12" s="71"/>
    </row>
    <row r="13" spans="1:7" ht="18" thickBot="1" x14ac:dyDescent="0.35">
      <c r="A13" s="87"/>
      <c r="B13" s="45"/>
      <c r="C13" s="73">
        <v>36</v>
      </c>
      <c r="D13" s="73">
        <v>48</v>
      </c>
      <c r="E13" s="73">
        <v>60</v>
      </c>
      <c r="F13" s="73">
        <v>72</v>
      </c>
      <c r="G13" s="73">
        <v>78</v>
      </c>
    </row>
    <row r="14" spans="1:7" ht="18" thickBot="1" x14ac:dyDescent="0.35">
      <c r="A14" s="116" t="s">
        <v>15</v>
      </c>
      <c r="B14" s="117">
        <v>30000</v>
      </c>
      <c r="C14" s="118">
        <v>3.0747125430102457E-2</v>
      </c>
      <c r="D14" s="118">
        <v>2.3653408674502861E-2</v>
      </c>
      <c r="E14" s="118">
        <v>1.9404952209688388E-2</v>
      </c>
      <c r="F14" s="118">
        <v>1.6579109929512427E-2</v>
      </c>
      <c r="G14" s="119">
        <v>1.5494478886318259E-2</v>
      </c>
    </row>
    <row r="23" ht="17.25" customHeight="1" x14ac:dyDescent="0.3"/>
    <row r="27" ht="17.25" customHeight="1" x14ac:dyDescent="0.3"/>
    <row r="28" ht="17.25" customHeight="1" x14ac:dyDescent="0.3"/>
  </sheetData>
  <sheetProtection algorithmName="SHA-512" hashValue="WWeLPVn8UJnMtKgQuQOLJ8+9EVisWX+YFxCuHVXKM28v7Ulj9Lirs5+Fw0c67AxKc25DAdb8Ywk2qGuplYjekw==" saltValue="rEmxm5GjyVGE8gGfBl9jmg==" spinCount="100000" sheet="1" objects="1" scenarios="1"/>
  <mergeCells count="1">
    <mergeCell ref="A10: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showGridLines="0" view="pageLayout" zoomScaleNormal="100" workbookViewId="0">
      <selection activeCell="F44" sqref="F44"/>
    </sheetView>
  </sheetViews>
  <sheetFormatPr defaultColWidth="9.140625" defaultRowHeight="16.5" x14ac:dyDescent="0.3"/>
  <cols>
    <col min="1" max="1" width="17" style="18" customWidth="1"/>
    <col min="2" max="6" width="12.85546875" style="18" customWidth="1"/>
    <col min="7" max="7" width="16.7109375" style="18" customWidth="1"/>
    <col min="8" max="8" width="2.85546875" style="18" customWidth="1"/>
    <col min="9" max="16384" width="9.140625" style="18"/>
  </cols>
  <sheetData>
    <row r="1" spans="1:7" ht="18" customHeight="1" x14ac:dyDescent="0.3"/>
    <row r="2" spans="1:7" ht="56.25" customHeight="1" x14ac:dyDescent="0.45">
      <c r="A2" s="32"/>
    </row>
    <row r="3" spans="1:7" ht="27.75" customHeight="1" x14ac:dyDescent="0.35">
      <c r="A3" s="33" t="s">
        <v>30</v>
      </c>
    </row>
    <row r="4" spans="1:7" ht="9.75" customHeight="1" x14ac:dyDescent="0.45">
      <c r="A4" s="25"/>
    </row>
    <row r="5" spans="1:7" s="1" customFormat="1" ht="14.25" customHeight="1" x14ac:dyDescent="0.3">
      <c r="A5" s="2">
        <f ca="1">TODAY()</f>
        <v>43720</v>
      </c>
      <c r="B5" s="3" t="str">
        <f ca="1">'Quoting Worksheet'!B4</f>
        <v/>
      </c>
      <c r="C5" s="4"/>
      <c r="D5" s="4"/>
      <c r="E5" s="4"/>
      <c r="F5" s="4"/>
      <c r="G5" s="4"/>
    </row>
    <row r="6" spans="1:7" s="1" customFormat="1" ht="15" customHeight="1" x14ac:dyDescent="0.3">
      <c r="A6" s="5" t="s">
        <v>31</v>
      </c>
      <c r="B6" s="18" t="str">
        <f>'Quoting Worksheet'!C6</f>
        <v>ABC Dental Practice LLC</v>
      </c>
      <c r="D6" s="7"/>
      <c r="E6" s="7"/>
      <c r="F6" s="4"/>
      <c r="G6" s="4"/>
    </row>
    <row r="7" spans="1:7" s="1" customFormat="1" ht="15" customHeight="1" x14ac:dyDescent="0.3">
      <c r="A7" s="5" t="s">
        <v>32</v>
      </c>
      <c r="B7" s="6" t="str">
        <f>'Quoting Worksheet'!C7</f>
        <v>Waterlase</v>
      </c>
      <c r="D7" s="7"/>
      <c r="E7" s="7"/>
      <c r="F7" s="4"/>
      <c r="G7" s="4"/>
    </row>
    <row r="8" spans="1:7" s="1" customFormat="1" ht="15" customHeight="1" x14ac:dyDescent="0.3">
      <c r="A8" s="5" t="s">
        <v>33</v>
      </c>
      <c r="B8" s="8">
        <f>'Quoting Worksheet'!C8</f>
        <v>75000</v>
      </c>
      <c r="D8" s="7"/>
      <c r="E8" s="7"/>
      <c r="F8" s="4"/>
      <c r="G8" s="4"/>
    </row>
    <row r="9" spans="1:7" s="1" customFormat="1" ht="15" customHeight="1" x14ac:dyDescent="0.3">
      <c r="A9" s="5" t="s">
        <v>34</v>
      </c>
      <c r="B9" s="6" t="str">
        <f>'Quoting Worksheet'!C9&amp;", "&amp;'Quoting Worksheet'!C10&amp;", "&amp;A2</f>
        <v xml:space="preserve">Ryan Meardon, 888-479-9111, </v>
      </c>
      <c r="D9" s="7"/>
      <c r="E9" s="7"/>
      <c r="F9" s="4"/>
      <c r="G9" s="4"/>
    </row>
    <row r="10" spans="1:7" x14ac:dyDescent="0.3">
      <c r="C10" s="52"/>
    </row>
    <row r="11" spans="1:7" x14ac:dyDescent="0.3">
      <c r="A11" s="1"/>
      <c r="B11" s="93">
        <v>36</v>
      </c>
      <c r="C11" s="93">
        <v>48</v>
      </c>
      <c r="D11" s="93">
        <v>60</v>
      </c>
      <c r="E11" s="93">
        <v>72</v>
      </c>
      <c r="F11" s="93">
        <v>84</v>
      </c>
    </row>
    <row r="12" spans="1:7" x14ac:dyDescent="0.3">
      <c r="A12" s="93" t="s">
        <v>35</v>
      </c>
      <c r="B12" s="94">
        <f>'Quoting Worksheet'!B14</f>
        <v>2256.2452885980902</v>
      </c>
      <c r="C12" s="94">
        <f>'Quoting Worksheet'!C14</f>
        <v>1735.7034563264685</v>
      </c>
      <c r="D12" s="94">
        <f>'Quoting Worksheet'!D14</f>
        <v>1423.9487882570047</v>
      </c>
      <c r="E12" s="94">
        <f>'Quoting Worksheet'!E14</f>
        <v>1216.5865310774707</v>
      </c>
      <c r="F12" s="94">
        <f>'Quoting Worksheet'!F14</f>
        <v>1068.8758571328744</v>
      </c>
    </row>
    <row r="13" spans="1:7" x14ac:dyDescent="0.3">
      <c r="A13" s="93" t="s">
        <v>11</v>
      </c>
      <c r="B13" s="94">
        <f>'Quoting Worksheet'!B15</f>
        <v>2275.6524068597696</v>
      </c>
      <c r="C13" s="94">
        <f>'Quoting Worksheet'!C15</f>
        <v>1750.551294776021</v>
      </c>
      <c r="D13" s="94">
        <f>'Quoting Worksheet'!D15</f>
        <v>1436.0638734869863</v>
      </c>
      <c r="E13" s="94">
        <f>'Quoting Worksheet'!E15</f>
        <v>1226.8821250640751</v>
      </c>
      <c r="F13" s="94" t="str">
        <f>'Quoting Worksheet'!F15</f>
        <v>N/A</v>
      </c>
    </row>
    <row r="14" spans="1:7" ht="5.25" customHeight="1" x14ac:dyDescent="0.3">
      <c r="A14" s="23"/>
    </row>
    <row r="15" spans="1:7" x14ac:dyDescent="0.3">
      <c r="A15" s="23"/>
      <c r="B15" s="52"/>
      <c r="C15" s="34" t="s">
        <v>36</v>
      </c>
      <c r="D15" s="52"/>
    </row>
    <row r="16" spans="1:7" x14ac:dyDescent="0.3">
      <c r="A16" s="23"/>
      <c r="B16" s="93">
        <v>36</v>
      </c>
      <c r="C16" s="93">
        <v>48</v>
      </c>
      <c r="D16" s="93">
        <v>60</v>
      </c>
      <c r="E16" s="93">
        <v>72</v>
      </c>
      <c r="F16" s="93">
        <v>78</v>
      </c>
    </row>
    <row r="17" spans="1:7" x14ac:dyDescent="0.3">
      <c r="B17" s="94">
        <f>'Quoting Worksheet'!B19</f>
        <v>2306.0344072576845</v>
      </c>
      <c r="C17" s="94">
        <f>'Quoting Worksheet'!C19</f>
        <v>1774.0056505877146</v>
      </c>
      <c r="D17" s="94">
        <f>'Quoting Worksheet'!D19</f>
        <v>1455.371415726629</v>
      </c>
      <c r="E17" s="94">
        <f>'Quoting Worksheet'!E19</f>
        <v>1243.433244713432</v>
      </c>
      <c r="F17" s="94">
        <f>'Quoting Worksheet'!F19</f>
        <v>1162.0859164738695</v>
      </c>
    </row>
    <row r="18" spans="1:7" x14ac:dyDescent="0.3">
      <c r="A18" s="24" t="s">
        <v>37</v>
      </c>
    </row>
    <row r="19" spans="1:7" ht="12" customHeight="1" x14ac:dyDescent="0.3">
      <c r="A19" s="24" t="s">
        <v>38</v>
      </c>
    </row>
    <row r="20" spans="1:7" ht="20.25" customHeight="1" x14ac:dyDescent="0.3">
      <c r="A20" s="35" t="s">
        <v>39</v>
      </c>
    </row>
    <row r="21" spans="1:7" ht="6.75" customHeight="1" x14ac:dyDescent="0.3">
      <c r="F21" s="90"/>
      <c r="G21" s="91"/>
    </row>
    <row r="22" spans="1:7" ht="14.25" customHeight="1" x14ac:dyDescent="0.3">
      <c r="F22" s="153" t="s">
        <v>40</v>
      </c>
      <c r="G22" s="153"/>
    </row>
    <row r="23" spans="1:7" ht="14.25" customHeight="1" x14ac:dyDescent="0.3">
      <c r="F23" s="92"/>
      <c r="G23" s="92"/>
    </row>
    <row r="24" spans="1:7" ht="14.25" customHeight="1" x14ac:dyDescent="0.3">
      <c r="F24" s="157" t="s">
        <v>41</v>
      </c>
      <c r="G24" s="157"/>
    </row>
    <row r="25" spans="1:7" ht="14.25" customHeight="1" x14ac:dyDescent="0.3">
      <c r="F25" s="154">
        <f>B8</f>
        <v>75000</v>
      </c>
      <c r="G25" s="155"/>
    </row>
    <row r="26" spans="1:7" ht="14.25" customHeight="1" x14ac:dyDescent="0.3">
      <c r="F26" s="159" t="s">
        <v>42</v>
      </c>
      <c r="G26" s="159"/>
    </row>
    <row r="27" spans="1:7" ht="14.25" customHeight="1" x14ac:dyDescent="0.3">
      <c r="F27" s="92"/>
      <c r="G27" s="92"/>
    </row>
    <row r="28" spans="1:7" ht="14.25" customHeight="1" x14ac:dyDescent="0.3">
      <c r="F28" s="158" t="s">
        <v>43</v>
      </c>
      <c r="G28" s="158"/>
    </row>
    <row r="29" spans="1:7" ht="14.25" customHeight="1" x14ac:dyDescent="0.3">
      <c r="F29" s="156" t="s">
        <v>44</v>
      </c>
      <c r="G29" s="157"/>
    </row>
    <row r="30" spans="1:7" ht="14.25" customHeight="1" x14ac:dyDescent="0.3">
      <c r="F30" s="154">
        <f>IFERROR(F25*0.21,"")</f>
        <v>15750</v>
      </c>
      <c r="G30" s="155"/>
    </row>
    <row r="31" spans="1:7" ht="14.25" customHeight="1" x14ac:dyDescent="0.3">
      <c r="F31" s="92"/>
      <c r="G31" s="92"/>
    </row>
    <row r="32" spans="1:7" ht="14.25" customHeight="1" x14ac:dyDescent="0.3">
      <c r="F32" s="158" t="s">
        <v>45</v>
      </c>
      <c r="G32" s="158"/>
    </row>
    <row r="33" spans="1:7" ht="14.25" customHeight="1" x14ac:dyDescent="0.3">
      <c r="F33" s="157" t="s">
        <v>46</v>
      </c>
      <c r="G33" s="157"/>
    </row>
    <row r="34" spans="1:7" ht="14.25" customHeight="1" x14ac:dyDescent="0.3">
      <c r="F34" s="148">
        <f>IFERROR(F25-F30,"")</f>
        <v>59250</v>
      </c>
      <c r="G34" s="149"/>
    </row>
    <row r="35" spans="1:7" ht="14.25" customHeight="1" x14ac:dyDescent="0.3">
      <c r="F35" s="150" t="s">
        <v>101</v>
      </c>
      <c r="G35" s="150"/>
    </row>
    <row r="36" spans="1:7" ht="14.25" customHeight="1" x14ac:dyDescent="0.3">
      <c r="F36" s="150"/>
      <c r="G36" s="150"/>
    </row>
    <row r="37" spans="1:7" ht="14.25" customHeight="1" x14ac:dyDescent="0.3">
      <c r="F37" s="150"/>
      <c r="G37" s="150"/>
    </row>
    <row r="38" spans="1:7" ht="21.75" customHeight="1" x14ac:dyDescent="0.3">
      <c r="F38" s="150"/>
      <c r="G38" s="150"/>
    </row>
    <row r="39" spans="1:7" ht="8.25" customHeight="1" x14ac:dyDescent="0.3">
      <c r="F39" s="150"/>
      <c r="G39" s="150"/>
    </row>
    <row r="40" spans="1:7" ht="56.25" customHeight="1" x14ac:dyDescent="0.3">
      <c r="A40" s="152" t="s">
        <v>48</v>
      </c>
      <c r="B40" s="152"/>
      <c r="C40" s="152"/>
      <c r="D40" s="152"/>
      <c r="E40" s="152"/>
      <c r="F40" s="150"/>
      <c r="G40" s="150"/>
    </row>
    <row r="41" spans="1:7" ht="21.75" customHeight="1" x14ac:dyDescent="0.3">
      <c r="A41" s="18" t="s">
        <v>49</v>
      </c>
      <c r="D41" s="18" t="s">
        <v>50</v>
      </c>
      <c r="F41" s="150"/>
      <c r="G41" s="150"/>
    </row>
    <row r="42" spans="1:7" ht="13.5" customHeight="1" x14ac:dyDescent="0.3">
      <c r="A42" s="20" t="s">
        <v>51</v>
      </c>
      <c r="D42" s="20" t="s">
        <v>52</v>
      </c>
      <c r="E42" s="20"/>
      <c r="F42" s="150"/>
      <c r="G42" s="150"/>
    </row>
    <row r="43" spans="1:7" ht="12.75" customHeight="1" x14ac:dyDescent="0.3">
      <c r="A43" s="21" t="s">
        <v>53</v>
      </c>
      <c r="B43" s="22"/>
      <c r="F43" s="150"/>
      <c r="G43" s="150"/>
    </row>
    <row r="44" spans="1:7" x14ac:dyDescent="0.3">
      <c r="A44" s="18" t="s">
        <v>97</v>
      </c>
      <c r="D44" s="18" t="s">
        <v>98</v>
      </c>
      <c r="F44" s="19"/>
      <c r="G44" s="19"/>
    </row>
    <row r="45" spans="1:7" ht="14.25" customHeight="1" x14ac:dyDescent="0.3">
      <c r="A45" s="18" t="s">
        <v>96</v>
      </c>
      <c r="D45" s="18" t="s">
        <v>95</v>
      </c>
      <c r="F45" s="151"/>
      <c r="G45" s="151"/>
    </row>
    <row r="46" spans="1:7" ht="14.25" customHeight="1" x14ac:dyDescent="0.3">
      <c r="A46" s="18" t="s">
        <v>99</v>
      </c>
      <c r="D46" s="18" t="s">
        <v>100</v>
      </c>
      <c r="G46" s="19"/>
    </row>
    <row r="47" spans="1:7" ht="54.75" customHeight="1" x14ac:dyDescent="0.3"/>
    <row r="49" spans="1:8" x14ac:dyDescent="0.3">
      <c r="A49" s="53"/>
      <c r="B49" s="53"/>
      <c r="C49" s="53"/>
      <c r="D49" s="53"/>
      <c r="E49" s="53"/>
      <c r="G49" s="19"/>
      <c r="H49" s="19"/>
    </row>
    <row r="50" spans="1:8" ht="16.5" customHeight="1" x14ac:dyDescent="0.3">
      <c r="F50" s="53"/>
      <c r="G50" s="19"/>
      <c r="H50" s="19"/>
    </row>
    <row r="51" spans="1:8" x14ac:dyDescent="0.3">
      <c r="G51" s="19"/>
      <c r="H51" s="19"/>
    </row>
    <row r="52" spans="1:8" x14ac:dyDescent="0.3">
      <c r="G52" s="19"/>
      <c r="H52" s="19"/>
    </row>
  </sheetData>
  <sheetProtection algorithmName="SHA-512" hashValue="fftJAfx6cuUzgtHQpKElIza++YLP4lGZXmVmipASkkO9mLL3+/EtDeVzo0OGNv1msl2uR7wXTty4Mcr6JdaqfQ==" saltValue="ZgPfIfJERW/IZEYQwRhwGA==" spinCount="100000" sheet="1" selectLockedCells="1" selectUnlockedCells="1"/>
  <mergeCells count="13">
    <mergeCell ref="F34:G34"/>
    <mergeCell ref="F35:G43"/>
    <mergeCell ref="F45:G45"/>
    <mergeCell ref="A40:E40"/>
    <mergeCell ref="F22:G22"/>
    <mergeCell ref="F25:G25"/>
    <mergeCell ref="F29:G29"/>
    <mergeCell ref="F32:G32"/>
    <mergeCell ref="F33:G33"/>
    <mergeCell ref="F28:G28"/>
    <mergeCell ref="F24:G24"/>
    <mergeCell ref="F26:G26"/>
    <mergeCell ref="F30:G30"/>
  </mergeCells>
  <pageMargins left="0.28000000000000003" right="0.25" top="0.25" bottom="0.25" header="0.3" footer="0.3"/>
  <pageSetup orientation="portrait"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EB7EA-C199-4367-A01F-7DE402C80F64}">
  <dimension ref="A1:H49"/>
  <sheetViews>
    <sheetView showGridLines="0" view="pageLayout" topLeftCell="A10" zoomScaleNormal="100" workbookViewId="0">
      <selection activeCell="F43" sqref="F43"/>
    </sheetView>
  </sheetViews>
  <sheetFormatPr defaultColWidth="9.140625" defaultRowHeight="16.5" x14ac:dyDescent="0.3"/>
  <cols>
    <col min="1" max="1" width="17" style="18" customWidth="1"/>
    <col min="2" max="6" width="12.85546875" style="18" customWidth="1"/>
    <col min="7" max="7" width="16.7109375" style="18" customWidth="1"/>
    <col min="8" max="8" width="2.85546875" style="18" customWidth="1"/>
    <col min="9" max="16384" width="9.140625" style="18"/>
  </cols>
  <sheetData>
    <row r="1" spans="1:7" ht="18" customHeight="1" x14ac:dyDescent="0.3"/>
    <row r="2" spans="1:7" ht="59.25" customHeight="1" x14ac:dyDescent="0.45">
      <c r="A2" s="32"/>
    </row>
    <row r="3" spans="1:7" ht="27.75" customHeight="1" x14ac:dyDescent="0.45">
      <c r="A3" s="98" t="s">
        <v>66</v>
      </c>
    </row>
    <row r="4" spans="1:7" ht="9.75" customHeight="1" x14ac:dyDescent="0.45">
      <c r="A4" s="25"/>
    </row>
    <row r="5" spans="1:7" s="1" customFormat="1" ht="14.25" customHeight="1" x14ac:dyDescent="0.3">
      <c r="A5" s="2">
        <f ca="1">TODAY()</f>
        <v>43720</v>
      </c>
      <c r="B5" s="3" t="str">
        <f ca="1">'Quoting Worksheet'!B4</f>
        <v/>
      </c>
      <c r="C5" s="4"/>
      <c r="D5" s="4"/>
      <c r="E5" s="4"/>
      <c r="F5" s="4"/>
      <c r="G5" s="4"/>
    </row>
    <row r="6" spans="1:7" s="1" customFormat="1" ht="15" customHeight="1" x14ac:dyDescent="0.3">
      <c r="A6" s="5" t="s">
        <v>31</v>
      </c>
      <c r="B6" s="18" t="str">
        <f>'Quoting Worksheet'!C6</f>
        <v>ABC Dental Practice LLC</v>
      </c>
      <c r="D6" s="7"/>
      <c r="E6" s="7"/>
      <c r="F6" s="4"/>
      <c r="G6" s="4"/>
    </row>
    <row r="7" spans="1:7" s="1" customFormat="1" ht="15" customHeight="1" x14ac:dyDescent="0.3">
      <c r="A7" s="5" t="s">
        <v>32</v>
      </c>
      <c r="B7" s="6" t="str">
        <f>'Quoting Worksheet'!C7</f>
        <v>Waterlase</v>
      </c>
      <c r="D7" s="7"/>
      <c r="E7" s="7"/>
      <c r="F7" s="4"/>
      <c r="G7" s="4"/>
    </row>
    <row r="8" spans="1:7" s="1" customFormat="1" ht="15" customHeight="1" x14ac:dyDescent="0.3">
      <c r="A8" s="5" t="s">
        <v>33</v>
      </c>
      <c r="B8" s="8">
        <f>'Quoting Worksheet'!C8</f>
        <v>75000</v>
      </c>
      <c r="D8" s="7"/>
      <c r="E8" s="7"/>
      <c r="F8" s="4"/>
      <c r="G8" s="4"/>
    </row>
    <row r="9" spans="1:7" s="1" customFormat="1" ht="15" customHeight="1" x14ac:dyDescent="0.3">
      <c r="A9" s="5" t="s">
        <v>34</v>
      </c>
      <c r="B9" s="6" t="str">
        <f>'Quoting Worksheet'!C9&amp;", "&amp;'Quoting Worksheet'!C10&amp;", "&amp;A2</f>
        <v xml:space="preserve">Ryan Meardon, 888-479-9111, </v>
      </c>
      <c r="D9" s="7"/>
      <c r="E9" s="7"/>
      <c r="F9" s="4"/>
      <c r="G9" s="4"/>
    </row>
    <row r="10" spans="1:7" x14ac:dyDescent="0.3">
      <c r="C10" s="80" t="s">
        <v>67</v>
      </c>
    </row>
    <row r="11" spans="1:7" x14ac:dyDescent="0.3">
      <c r="A11" s="1"/>
      <c r="B11" s="93">
        <v>36</v>
      </c>
      <c r="C11" s="93">
        <v>48</v>
      </c>
      <c r="D11" s="93">
        <v>60</v>
      </c>
      <c r="F11"/>
    </row>
    <row r="12" spans="1:7" x14ac:dyDescent="0.3">
      <c r="A12" s="1"/>
      <c r="B12" s="94">
        <f>'Quoting Worksheet'!J11</f>
        <v>2197.6559795183107</v>
      </c>
      <c r="C12" s="94">
        <f>'Quoting Worksheet'!K11</f>
        <v>1676.7000788772762</v>
      </c>
      <c r="D12" s="94">
        <f>'Quoting Worksheet'!L11</f>
        <v>1364.3808727692301</v>
      </c>
    </row>
    <row r="13" spans="1:7" x14ac:dyDescent="0.3">
      <c r="A13" s="1"/>
      <c r="B13" s="1"/>
      <c r="C13" s="1"/>
    </row>
    <row r="14" spans="1:7" ht="5.25" customHeight="1" x14ac:dyDescent="0.3">
      <c r="A14" s="23"/>
    </row>
    <row r="15" spans="1:7" x14ac:dyDescent="0.3">
      <c r="A15" s="24" t="s">
        <v>37</v>
      </c>
    </row>
    <row r="16" spans="1:7" ht="12" customHeight="1" x14ac:dyDescent="0.3">
      <c r="A16" s="24" t="s">
        <v>38</v>
      </c>
    </row>
    <row r="17" spans="1:7" ht="20.25" customHeight="1" x14ac:dyDescent="0.3">
      <c r="A17" s="35" t="s">
        <v>39</v>
      </c>
    </row>
    <row r="18" spans="1:7" ht="6.75" customHeight="1" x14ac:dyDescent="0.3">
      <c r="F18" s="90"/>
      <c r="G18" s="91"/>
    </row>
    <row r="19" spans="1:7" ht="14.25" customHeight="1" x14ac:dyDescent="0.3">
      <c r="F19" s="153" t="s">
        <v>40</v>
      </c>
      <c r="G19" s="153"/>
    </row>
    <row r="20" spans="1:7" ht="14.25" customHeight="1" x14ac:dyDescent="0.3">
      <c r="F20" s="92"/>
      <c r="G20" s="92"/>
    </row>
    <row r="21" spans="1:7" ht="14.25" customHeight="1" x14ac:dyDescent="0.3">
      <c r="F21" s="157" t="s">
        <v>41</v>
      </c>
      <c r="G21" s="157"/>
    </row>
    <row r="22" spans="1:7" ht="14.25" customHeight="1" x14ac:dyDescent="0.3">
      <c r="F22" s="154">
        <f>B8</f>
        <v>75000</v>
      </c>
      <c r="G22" s="155"/>
    </row>
    <row r="23" spans="1:7" ht="14.25" customHeight="1" x14ac:dyDescent="0.3">
      <c r="F23" s="159" t="s">
        <v>42</v>
      </c>
      <c r="G23" s="159"/>
    </row>
    <row r="24" spans="1:7" ht="14.25" customHeight="1" x14ac:dyDescent="0.3">
      <c r="F24" s="92"/>
      <c r="G24" s="92"/>
    </row>
    <row r="25" spans="1:7" ht="14.25" customHeight="1" x14ac:dyDescent="0.3">
      <c r="F25" s="158" t="s">
        <v>43</v>
      </c>
      <c r="G25" s="158"/>
    </row>
    <row r="26" spans="1:7" ht="14.25" customHeight="1" x14ac:dyDescent="0.3">
      <c r="F26" s="156" t="s">
        <v>44</v>
      </c>
      <c r="G26" s="157"/>
    </row>
    <row r="27" spans="1:7" ht="14.25" customHeight="1" x14ac:dyDescent="0.3">
      <c r="F27" s="154">
        <f>IFERROR(F22*0.21,"")</f>
        <v>15750</v>
      </c>
      <c r="G27" s="155"/>
    </row>
    <row r="28" spans="1:7" ht="14.25" customHeight="1" x14ac:dyDescent="0.3">
      <c r="F28" s="92"/>
      <c r="G28" s="92"/>
    </row>
    <row r="29" spans="1:7" ht="14.25" customHeight="1" x14ac:dyDescent="0.3">
      <c r="F29" s="158" t="s">
        <v>45</v>
      </c>
      <c r="G29" s="158"/>
    </row>
    <row r="30" spans="1:7" ht="14.25" customHeight="1" x14ac:dyDescent="0.3">
      <c r="F30" s="157" t="s">
        <v>46</v>
      </c>
      <c r="G30" s="157"/>
    </row>
    <row r="31" spans="1:7" ht="14.25" customHeight="1" x14ac:dyDescent="0.3">
      <c r="F31" s="148">
        <f>IFERROR(F22-F27,"")</f>
        <v>59250</v>
      </c>
      <c r="G31" s="149"/>
    </row>
    <row r="32" spans="1:7" ht="14.25" customHeight="1" x14ac:dyDescent="0.3">
      <c r="F32" s="150" t="s">
        <v>47</v>
      </c>
      <c r="G32" s="150"/>
    </row>
    <row r="33" spans="1:8" ht="14.25" customHeight="1" x14ac:dyDescent="0.3">
      <c r="F33" s="150"/>
      <c r="G33" s="150"/>
    </row>
    <row r="34" spans="1:8" ht="14.25" customHeight="1" x14ac:dyDescent="0.3">
      <c r="F34" s="150"/>
      <c r="G34" s="150"/>
    </row>
    <row r="35" spans="1:8" ht="21.75" customHeight="1" x14ac:dyDescent="0.3">
      <c r="F35" s="150"/>
      <c r="G35" s="150"/>
    </row>
    <row r="36" spans="1:8" ht="8.25" customHeight="1" x14ac:dyDescent="0.3">
      <c r="F36" s="150"/>
      <c r="G36" s="150"/>
    </row>
    <row r="37" spans="1:8" ht="56.25" customHeight="1" x14ac:dyDescent="0.3">
      <c r="A37" s="160" t="s">
        <v>48</v>
      </c>
      <c r="B37" s="160"/>
      <c r="C37" s="160"/>
      <c r="D37" s="160"/>
      <c r="E37" s="160"/>
      <c r="F37" s="150"/>
      <c r="G37" s="150"/>
    </row>
    <row r="38" spans="1:8" ht="21.75" customHeight="1" x14ac:dyDescent="0.3">
      <c r="A38" s="18" t="s">
        <v>49</v>
      </c>
      <c r="D38" s="18" t="s">
        <v>50</v>
      </c>
      <c r="F38" s="150"/>
      <c r="G38" s="150"/>
    </row>
    <row r="39" spans="1:8" ht="13.5" customHeight="1" x14ac:dyDescent="0.3">
      <c r="A39" s="20" t="s">
        <v>51</v>
      </c>
      <c r="D39" s="20" t="s">
        <v>52</v>
      </c>
      <c r="E39" s="20"/>
      <c r="F39" s="150"/>
      <c r="G39" s="150"/>
    </row>
    <row r="40" spans="1:8" ht="12.75" customHeight="1" x14ac:dyDescent="0.3">
      <c r="A40" s="21" t="s">
        <v>53</v>
      </c>
      <c r="B40" s="22"/>
      <c r="F40" s="150"/>
      <c r="G40" s="150"/>
    </row>
    <row r="41" spans="1:8" ht="17.25" customHeight="1" x14ac:dyDescent="0.3">
      <c r="A41" s="18" t="s">
        <v>97</v>
      </c>
      <c r="C41" s="18" t="s">
        <v>98</v>
      </c>
      <c r="F41" s="19"/>
      <c r="G41" s="19"/>
    </row>
    <row r="42" spans="1:8" ht="17.25" customHeight="1" x14ac:dyDescent="0.3">
      <c r="A42" s="18" t="s">
        <v>96</v>
      </c>
      <c r="C42" s="18" t="s">
        <v>95</v>
      </c>
      <c r="F42" s="151"/>
      <c r="G42" s="151"/>
    </row>
    <row r="43" spans="1:8" ht="14.25" customHeight="1" x14ac:dyDescent="0.3">
      <c r="A43" s="18" t="s">
        <v>28</v>
      </c>
      <c r="C43" s="18" t="s">
        <v>93</v>
      </c>
      <c r="G43" s="19"/>
    </row>
    <row r="44" spans="1:8" ht="54.75" customHeight="1" x14ac:dyDescent="0.3"/>
    <row r="46" spans="1:8" x14ac:dyDescent="0.3">
      <c r="A46" s="97"/>
      <c r="B46" s="97"/>
      <c r="C46" s="97"/>
      <c r="D46" s="97"/>
      <c r="E46" s="97"/>
      <c r="G46" s="19"/>
      <c r="H46" s="19"/>
    </row>
    <row r="47" spans="1:8" ht="16.5" customHeight="1" x14ac:dyDescent="0.3">
      <c r="F47" s="97"/>
      <c r="G47" s="19"/>
      <c r="H47" s="19"/>
    </row>
    <row r="48" spans="1:8" x14ac:dyDescent="0.3">
      <c r="G48" s="19"/>
      <c r="H48" s="19"/>
    </row>
    <row r="49" spans="7:8" x14ac:dyDescent="0.3">
      <c r="G49" s="19"/>
      <c r="H49" s="19"/>
    </row>
  </sheetData>
  <sheetProtection algorithmName="SHA-512" hashValue="8ayENoLwH9Bgn5uOvaVDjxK3VM8YU0Y3A9yi/7zolM3AMHCgI1fWMseA63Lx6S/FWNPml4xCo+OBiuQvqYz0sA==" saltValue="El78cYffc+0OASBrf83SQw==" spinCount="100000" sheet="1" selectLockedCells="1" selectUnlockedCells="1"/>
  <mergeCells count="13">
    <mergeCell ref="A37:E37"/>
    <mergeCell ref="F42:G42"/>
    <mergeCell ref="F25:G25"/>
    <mergeCell ref="F26:G26"/>
    <mergeCell ref="F27:G27"/>
    <mergeCell ref="F29:G29"/>
    <mergeCell ref="F30:G30"/>
    <mergeCell ref="F31:G31"/>
    <mergeCell ref="F19:G19"/>
    <mergeCell ref="F21:G21"/>
    <mergeCell ref="F22:G22"/>
    <mergeCell ref="F23:G23"/>
    <mergeCell ref="F32:G40"/>
  </mergeCells>
  <pageMargins left="0.28000000000000003" right="0.25" top="0.25" bottom="0.25" header="0.3" footer="0.3"/>
  <pageSetup orientation="portrait"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4D115-5E1D-4AEA-927A-AD3059594AAE}">
  <dimension ref="A1:G56"/>
  <sheetViews>
    <sheetView showGridLines="0" view="pageLayout" topLeftCell="A8" zoomScaleNormal="100" workbookViewId="0">
      <selection activeCell="B8" sqref="B8"/>
    </sheetView>
  </sheetViews>
  <sheetFormatPr defaultColWidth="9.140625" defaultRowHeight="16.5" x14ac:dyDescent="0.3"/>
  <cols>
    <col min="1" max="1" width="17" style="18" customWidth="1"/>
    <col min="2" max="4" width="12.85546875" style="18" customWidth="1"/>
    <col min="5" max="5" width="14.7109375" style="18" customWidth="1"/>
    <col min="6" max="6" width="12.85546875" style="18" customWidth="1"/>
    <col min="7" max="7" width="16.7109375" style="18" customWidth="1"/>
    <col min="8" max="16384" width="9.140625" style="18"/>
  </cols>
  <sheetData>
    <row r="1" spans="1:7" ht="18" customHeight="1" x14ac:dyDescent="0.3"/>
    <row r="2" spans="1:7" ht="56.25" customHeight="1" x14ac:dyDescent="0.45">
      <c r="A2" s="32"/>
    </row>
    <row r="3" spans="1:7" ht="27.75" customHeight="1" x14ac:dyDescent="0.35">
      <c r="A3" s="110" t="s">
        <v>83</v>
      </c>
    </row>
    <row r="4" spans="1:7" ht="27.75" customHeight="1" x14ac:dyDescent="0.35">
      <c r="A4" s="110" t="s">
        <v>84</v>
      </c>
    </row>
    <row r="5" spans="1:7" ht="9.75" customHeight="1" x14ac:dyDescent="0.45">
      <c r="A5" s="25"/>
    </row>
    <row r="6" spans="1:7" s="1" customFormat="1" ht="14.25" customHeight="1" x14ac:dyDescent="0.3">
      <c r="A6" s="2">
        <f ca="1">TODAY()</f>
        <v>43720</v>
      </c>
      <c r="B6" s="3">
        <f>'[2]Standard Quoting Worksheet'!B4</f>
        <v>0</v>
      </c>
      <c r="C6" s="4"/>
      <c r="D6" s="4"/>
      <c r="E6" s="4"/>
      <c r="F6" s="4"/>
      <c r="G6" s="4"/>
    </row>
    <row r="7" spans="1:7" s="1" customFormat="1" ht="15" customHeight="1" x14ac:dyDescent="0.3">
      <c r="A7" s="5" t="s">
        <v>31</v>
      </c>
      <c r="B7" s="111" t="s">
        <v>85</v>
      </c>
      <c r="D7" s="7"/>
      <c r="E7" s="7"/>
      <c r="F7" s="4"/>
      <c r="G7" s="4"/>
    </row>
    <row r="8" spans="1:7" s="1" customFormat="1" ht="15" customHeight="1" x14ac:dyDescent="0.3">
      <c r="A8" s="5" t="s">
        <v>86</v>
      </c>
      <c r="B8" s="112">
        <f>'Quoting Worksheet'!$C$8</f>
        <v>75000</v>
      </c>
      <c r="D8" s="7"/>
      <c r="E8" s="7"/>
      <c r="F8" s="4"/>
      <c r="G8" s="4"/>
    </row>
    <row r="9" spans="1:7" s="1" customFormat="1" ht="15" customHeight="1" x14ac:dyDescent="0.3">
      <c r="A9" s="5" t="s">
        <v>34</v>
      </c>
      <c r="B9" s="113" t="s">
        <v>87</v>
      </c>
      <c r="D9" s="7"/>
      <c r="E9" s="7"/>
      <c r="F9" s="4"/>
      <c r="G9" s="4"/>
    </row>
    <row r="10" spans="1:7" x14ac:dyDescent="0.3">
      <c r="C10" s="80"/>
    </row>
    <row r="11" spans="1:7" hidden="1" x14ac:dyDescent="0.3">
      <c r="A11" s="1"/>
      <c r="B11" s="93">
        <v>36</v>
      </c>
      <c r="C11" s="114">
        <v>48</v>
      </c>
      <c r="D11" s="93">
        <v>60</v>
      </c>
      <c r="E11" s="93">
        <v>72</v>
      </c>
      <c r="F11" s="93">
        <v>84</v>
      </c>
    </row>
    <row r="12" spans="1:7" hidden="1" x14ac:dyDescent="0.3">
      <c r="A12" s="93" t="s">
        <v>35</v>
      </c>
      <c r="B12" s="94">
        <f>'[2]Standard Quoting Worksheet'!B14</f>
        <v>2637.0438630046956</v>
      </c>
      <c r="C12" s="94">
        <f>'[2]Standard Quoting Worksheet'!C14</f>
        <v>2026.1792273796502</v>
      </c>
      <c r="D12" s="94">
        <f>'[2]Standard Quoting Worksheet'!D14</f>
        <v>1660.2654241268476</v>
      </c>
      <c r="E12" s="94">
        <f>'[2]Standard Quoting Worksheet'!E14</f>
        <v>1427.0515656992757</v>
      </c>
      <c r="F12" s="94">
        <f>'[2]Standard Quoting Worksheet'!F14</f>
        <v>1253.7321186419586</v>
      </c>
    </row>
    <row r="13" spans="1:7" hidden="1" x14ac:dyDescent="0.3">
      <c r="A13" s="93" t="s">
        <v>11</v>
      </c>
      <c r="B13" s="94">
        <f>'[2]Standard Quoting Worksheet'!B15</f>
        <v>2670.0988240487964</v>
      </c>
      <c r="C13" s="94">
        <f>'[2]Standard Quoting Worksheet'!C15</f>
        <v>2053.9801858705314</v>
      </c>
      <c r="D13" s="94">
        <f>'[2]Standard Quoting Worksheet'!D15</f>
        <v>1684.9816115580638</v>
      </c>
      <c r="E13" s="94">
        <f>'[2]Standard Quoting Worksheet'!E15</f>
        <v>1439.5416934085149</v>
      </c>
      <c r="F13" s="94" t="str">
        <f>'[2]Standard Quoting Worksheet'!F15</f>
        <v>N/A</v>
      </c>
    </row>
    <row r="14" spans="1:7" ht="5.25" customHeight="1" x14ac:dyDescent="0.3">
      <c r="A14" s="23"/>
    </row>
    <row r="15" spans="1:7" x14ac:dyDescent="0.3">
      <c r="A15" s="23"/>
      <c r="B15" s="122" t="s">
        <v>88</v>
      </c>
      <c r="C15" s="122"/>
      <c r="D15" s="122"/>
      <c r="E15" s="122"/>
      <c r="F15" s="122"/>
    </row>
    <row r="16" spans="1:7" x14ac:dyDescent="0.3">
      <c r="A16" s="23"/>
      <c r="B16" s="93">
        <v>36</v>
      </c>
      <c r="C16" s="93">
        <v>48</v>
      </c>
      <c r="D16" s="93">
        <v>60</v>
      </c>
      <c r="E16" s="93">
        <v>72</v>
      </c>
      <c r="F16" s="93">
        <v>78</v>
      </c>
    </row>
    <row r="17" spans="1:7" x14ac:dyDescent="0.3">
      <c r="B17" s="94">
        <f>'Quoting Worksheet'!J17</f>
        <v>2306.0344072576845</v>
      </c>
      <c r="C17" s="94">
        <f>'Quoting Worksheet'!K17</f>
        <v>1774.0056505877146</v>
      </c>
      <c r="D17" s="94">
        <f>'Quoting Worksheet'!L17</f>
        <v>1455.371415726629</v>
      </c>
      <c r="E17" s="94">
        <f>'Quoting Worksheet'!M17</f>
        <v>1243.433244713432</v>
      </c>
      <c r="F17" s="94">
        <f>'Quoting Worksheet'!N17</f>
        <v>1162.0859164738695</v>
      </c>
    </row>
    <row r="18" spans="1:7" x14ac:dyDescent="0.3">
      <c r="A18" s="24" t="s">
        <v>37</v>
      </c>
    </row>
    <row r="19" spans="1:7" ht="12" customHeight="1" x14ac:dyDescent="0.3">
      <c r="A19" s="24" t="s">
        <v>38</v>
      </c>
    </row>
    <row r="20" spans="1:7" ht="20.25" customHeight="1" x14ac:dyDescent="0.3">
      <c r="A20" s="35" t="s">
        <v>39</v>
      </c>
    </row>
    <row r="21" spans="1:7" ht="6.75" customHeight="1" x14ac:dyDescent="0.3">
      <c r="F21" s="90"/>
      <c r="G21" s="91"/>
    </row>
    <row r="22" spans="1:7" ht="14.25" customHeight="1" x14ac:dyDescent="0.3">
      <c r="F22" s="153" t="s">
        <v>40</v>
      </c>
      <c r="G22" s="153"/>
    </row>
    <row r="23" spans="1:7" ht="14.25" customHeight="1" x14ac:dyDescent="0.3">
      <c r="F23" s="92"/>
      <c r="G23" s="92"/>
    </row>
    <row r="24" spans="1:7" ht="14.25" customHeight="1" x14ac:dyDescent="0.3">
      <c r="F24" s="157" t="s">
        <v>41</v>
      </c>
      <c r="G24" s="157"/>
    </row>
    <row r="25" spans="1:7" ht="14.25" customHeight="1" x14ac:dyDescent="0.3">
      <c r="F25" s="154">
        <f>B8</f>
        <v>75000</v>
      </c>
      <c r="G25" s="155"/>
    </row>
    <row r="26" spans="1:7" ht="14.25" customHeight="1" x14ac:dyDescent="0.3">
      <c r="F26" s="159" t="s">
        <v>42</v>
      </c>
      <c r="G26" s="159"/>
    </row>
    <row r="27" spans="1:7" ht="14.25" customHeight="1" x14ac:dyDescent="0.3">
      <c r="F27" s="92"/>
      <c r="G27" s="92"/>
    </row>
    <row r="28" spans="1:7" ht="14.25" customHeight="1" x14ac:dyDescent="0.3">
      <c r="F28" s="158" t="s">
        <v>43</v>
      </c>
      <c r="G28" s="158"/>
    </row>
    <row r="29" spans="1:7" ht="14.25" customHeight="1" x14ac:dyDescent="0.3">
      <c r="F29" s="156" t="s">
        <v>44</v>
      </c>
      <c r="G29" s="157"/>
    </row>
    <row r="30" spans="1:7" ht="14.25" customHeight="1" x14ac:dyDescent="0.3">
      <c r="F30" s="154">
        <f>IFERROR(F25*0.21,"")</f>
        <v>15750</v>
      </c>
      <c r="G30" s="155"/>
    </row>
    <row r="31" spans="1:7" ht="14.25" customHeight="1" x14ac:dyDescent="0.3">
      <c r="F31" s="92"/>
      <c r="G31" s="92"/>
    </row>
    <row r="32" spans="1:7" ht="14.25" customHeight="1" x14ac:dyDescent="0.3">
      <c r="F32" s="158" t="s">
        <v>45</v>
      </c>
      <c r="G32" s="158"/>
    </row>
    <row r="33" spans="1:7" ht="14.25" customHeight="1" x14ac:dyDescent="0.3">
      <c r="F33" s="157" t="s">
        <v>46</v>
      </c>
      <c r="G33" s="157"/>
    </row>
    <row r="34" spans="1:7" ht="14.25" customHeight="1" x14ac:dyDescent="0.3">
      <c r="F34" s="148">
        <f>IFERROR(F25-F30,"")</f>
        <v>59250</v>
      </c>
      <c r="G34" s="149"/>
    </row>
    <row r="35" spans="1:7" ht="14.25" customHeight="1" x14ac:dyDescent="0.3">
      <c r="F35" s="150" t="s">
        <v>47</v>
      </c>
      <c r="G35" s="150"/>
    </row>
    <row r="36" spans="1:7" ht="14.25" customHeight="1" x14ac:dyDescent="0.3">
      <c r="F36" s="150"/>
      <c r="G36" s="150"/>
    </row>
    <row r="37" spans="1:7" ht="14.25" customHeight="1" x14ac:dyDescent="0.3">
      <c r="F37" s="150"/>
      <c r="G37" s="150"/>
    </row>
    <row r="38" spans="1:7" ht="21.75" customHeight="1" x14ac:dyDescent="0.3">
      <c r="A38" s="161" t="s">
        <v>48</v>
      </c>
      <c r="B38" s="161"/>
      <c r="C38" s="161"/>
      <c r="D38" s="161"/>
      <c r="E38" s="161"/>
      <c r="F38" s="150"/>
      <c r="G38" s="150"/>
    </row>
    <row r="39" spans="1:7" ht="8.25" customHeight="1" x14ac:dyDescent="0.3">
      <c r="A39" s="161"/>
      <c r="B39" s="161"/>
      <c r="C39" s="161"/>
      <c r="D39" s="161"/>
      <c r="E39" s="161"/>
      <c r="F39" s="150"/>
      <c r="G39" s="150"/>
    </row>
    <row r="40" spans="1:7" ht="56.25" customHeight="1" x14ac:dyDescent="0.3">
      <c r="A40" s="161"/>
      <c r="B40" s="161"/>
      <c r="C40" s="161"/>
      <c r="D40" s="161"/>
      <c r="E40" s="161"/>
      <c r="F40" s="150"/>
      <c r="G40" s="150"/>
    </row>
    <row r="41" spans="1:7" ht="21.75" customHeight="1" x14ac:dyDescent="0.3">
      <c r="A41" s="18" t="s">
        <v>49</v>
      </c>
      <c r="D41" s="18" t="s">
        <v>50</v>
      </c>
      <c r="F41" s="150"/>
      <c r="G41" s="150"/>
    </row>
    <row r="42" spans="1:7" ht="13.5" customHeight="1" x14ac:dyDescent="0.3">
      <c r="A42" s="20" t="s">
        <v>51</v>
      </c>
      <c r="D42" s="20" t="s">
        <v>52</v>
      </c>
      <c r="E42" s="20"/>
      <c r="F42" s="150"/>
      <c r="G42" s="150"/>
    </row>
    <row r="43" spans="1:7" ht="12.75" customHeight="1" x14ac:dyDescent="0.3">
      <c r="A43" s="21" t="s">
        <v>53</v>
      </c>
      <c r="B43" s="22"/>
      <c r="F43" s="150"/>
      <c r="G43" s="150"/>
    </row>
    <row r="44" spans="1:7" x14ac:dyDescent="0.3">
      <c r="A44" s="18" t="s">
        <v>97</v>
      </c>
      <c r="C44" s="18" t="s">
        <v>98</v>
      </c>
      <c r="F44" s="19"/>
      <c r="G44" s="19"/>
    </row>
    <row r="45" spans="1:7" ht="14.25" customHeight="1" x14ac:dyDescent="0.3">
      <c r="A45" s="18" t="s">
        <v>96</v>
      </c>
      <c r="C45" s="18" t="s">
        <v>95</v>
      </c>
      <c r="F45" s="151"/>
      <c r="G45" s="151"/>
    </row>
    <row r="46" spans="1:7" ht="14.25" customHeight="1" x14ac:dyDescent="0.3">
      <c r="A46" s="18" t="s">
        <v>28</v>
      </c>
      <c r="C46" s="18" t="s">
        <v>93</v>
      </c>
      <c r="G46" s="19"/>
    </row>
    <row r="47" spans="1:7" ht="54.75" customHeight="1" x14ac:dyDescent="0.3"/>
    <row r="50" spans="1:6" ht="16.5" customHeight="1" x14ac:dyDescent="0.3"/>
    <row r="56" spans="1:6" ht="18.75" x14ac:dyDescent="0.3">
      <c r="A56" s="115"/>
      <c r="B56" s="115"/>
      <c r="C56" s="115"/>
      <c r="D56" s="115"/>
      <c r="E56" s="115"/>
      <c r="F56" s="115"/>
    </row>
  </sheetData>
  <sheetProtection algorithmName="SHA-512" hashValue="P5g86rUo4Yp3s4jL6FIVuF9SH6h2eXumb6o+WiDPEdL5EiVceqJzVRRlsW0r4Lu8Q3w+ca9dVgrfCBqOGINoGg==" saltValue="/IDtJMFcI6CM9UUvIqwBLg==" spinCount="100000" sheet="1" selectLockedCells="1" selectUnlockedCells="1"/>
  <mergeCells count="14">
    <mergeCell ref="F45:G45"/>
    <mergeCell ref="A38:E40"/>
    <mergeCell ref="B15:F15"/>
    <mergeCell ref="F24:G24"/>
    <mergeCell ref="F28:G28"/>
    <mergeCell ref="F32:G32"/>
    <mergeCell ref="F22:G22"/>
    <mergeCell ref="F25:G25"/>
    <mergeCell ref="F26:G26"/>
    <mergeCell ref="F29:G29"/>
    <mergeCell ref="F30:G30"/>
    <mergeCell ref="F33:G33"/>
    <mergeCell ref="F34:G34"/>
    <mergeCell ref="F35:G43"/>
  </mergeCells>
  <pageMargins left="0.28000000000000003" right="0.25" top="0.25" bottom="0.25" header="0.3" footer="0.3"/>
  <pageSetup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9"/>
  <sheetViews>
    <sheetView showGridLines="0" view="pageLayout" zoomScaleNormal="100" workbookViewId="0">
      <selection activeCell="G10" sqref="G10"/>
    </sheetView>
  </sheetViews>
  <sheetFormatPr defaultColWidth="9.140625" defaultRowHeight="16.5" x14ac:dyDescent="0.3"/>
  <cols>
    <col min="1" max="1" width="17" style="18" customWidth="1"/>
    <col min="2" max="6" width="12.85546875" style="18" customWidth="1"/>
    <col min="7" max="7" width="16.7109375" style="18" customWidth="1"/>
    <col min="8" max="8" width="2.85546875" style="18" customWidth="1"/>
    <col min="9" max="16384" width="9.140625" style="18"/>
  </cols>
  <sheetData>
    <row r="1" spans="1:7" ht="18" customHeight="1" x14ac:dyDescent="0.3"/>
    <row r="2" spans="1:7" ht="59.25" customHeight="1" x14ac:dyDescent="0.45">
      <c r="A2" s="32"/>
    </row>
    <row r="3" spans="1:7" ht="27.75" customHeight="1" x14ac:dyDescent="0.35">
      <c r="A3" s="33" t="s">
        <v>55</v>
      </c>
    </row>
    <row r="4" spans="1:7" ht="9.75" customHeight="1" x14ac:dyDescent="0.45">
      <c r="A4" s="25"/>
    </row>
    <row r="5" spans="1:7" s="1" customFormat="1" ht="14.25" customHeight="1" x14ac:dyDescent="0.3">
      <c r="A5" s="2">
        <f ca="1">TODAY()</f>
        <v>43720</v>
      </c>
      <c r="B5" s="3" t="str">
        <f ca="1">'Quoting Worksheet'!B4</f>
        <v/>
      </c>
      <c r="C5" s="4"/>
      <c r="D5" s="4"/>
      <c r="E5" s="4"/>
      <c r="F5" s="4"/>
      <c r="G5" s="4"/>
    </row>
    <row r="6" spans="1:7" s="1" customFormat="1" ht="15" customHeight="1" x14ac:dyDescent="0.3">
      <c r="A6" s="5" t="s">
        <v>31</v>
      </c>
      <c r="B6" s="18" t="str">
        <f>'Quoting Worksheet'!C6</f>
        <v>ABC Dental Practice LLC</v>
      </c>
      <c r="D6" s="7"/>
      <c r="E6" s="7"/>
      <c r="F6" s="4"/>
      <c r="G6" s="4"/>
    </row>
    <row r="7" spans="1:7" s="1" customFormat="1" ht="15" customHeight="1" x14ac:dyDescent="0.3">
      <c r="A7" s="5" t="s">
        <v>32</v>
      </c>
      <c r="B7" s="6" t="str">
        <f>'Quoting Worksheet'!C7</f>
        <v>Waterlase</v>
      </c>
      <c r="D7" s="7"/>
      <c r="E7" s="7"/>
      <c r="F7" s="4"/>
      <c r="G7" s="4"/>
    </row>
    <row r="8" spans="1:7" s="1" customFormat="1" ht="15" customHeight="1" x14ac:dyDescent="0.3">
      <c r="A8" s="5" t="s">
        <v>33</v>
      </c>
      <c r="B8" s="8">
        <f>'Quoting Worksheet'!C8</f>
        <v>75000</v>
      </c>
      <c r="D8" s="7"/>
      <c r="E8" s="7"/>
      <c r="F8" s="4"/>
      <c r="G8" s="4"/>
    </row>
    <row r="9" spans="1:7" s="1" customFormat="1" ht="15" customHeight="1" x14ac:dyDescent="0.3">
      <c r="A9" s="5" t="s">
        <v>34</v>
      </c>
      <c r="B9" s="6" t="str">
        <f>'Quoting Worksheet'!C9&amp;", "&amp;'Quoting Worksheet'!C10&amp;", "&amp;A2</f>
        <v xml:space="preserve">Ryan Meardon, 888-479-9111, </v>
      </c>
      <c r="D9" s="7"/>
      <c r="E9" s="7"/>
      <c r="F9" s="4"/>
      <c r="G9" s="4"/>
    </row>
    <row r="10" spans="1:7" x14ac:dyDescent="0.3">
      <c r="C10" s="80"/>
    </row>
    <row r="11" spans="1:7" ht="20.25" x14ac:dyDescent="0.3">
      <c r="A11" s="1"/>
      <c r="C11" s="162" t="s">
        <v>56</v>
      </c>
      <c r="D11" s="163"/>
      <c r="F11"/>
    </row>
    <row r="12" spans="1:7" ht="20.25" x14ac:dyDescent="0.3">
      <c r="A12" s="1"/>
      <c r="C12" s="164">
        <f>B8/12</f>
        <v>6250</v>
      </c>
      <c r="D12" s="165"/>
    </row>
    <row r="13" spans="1:7" x14ac:dyDescent="0.3">
      <c r="A13" s="1"/>
      <c r="B13" s="1"/>
      <c r="C13" s="1"/>
    </row>
    <row r="14" spans="1:7" ht="5.25" customHeight="1" x14ac:dyDescent="0.3">
      <c r="A14" s="23"/>
    </row>
    <row r="15" spans="1:7" x14ac:dyDescent="0.3">
      <c r="A15" s="24" t="s">
        <v>37</v>
      </c>
    </row>
    <row r="16" spans="1:7" ht="12" customHeight="1" x14ac:dyDescent="0.3">
      <c r="A16" s="24" t="s">
        <v>38</v>
      </c>
    </row>
    <row r="17" spans="1:7" ht="20.25" customHeight="1" x14ac:dyDescent="0.3">
      <c r="A17" s="35" t="s">
        <v>39</v>
      </c>
    </row>
    <row r="18" spans="1:7" ht="6.75" customHeight="1" x14ac:dyDescent="0.3">
      <c r="F18" s="90"/>
      <c r="G18" s="91"/>
    </row>
    <row r="19" spans="1:7" ht="14.25" customHeight="1" x14ac:dyDescent="0.3">
      <c r="F19" s="153" t="s">
        <v>40</v>
      </c>
      <c r="G19" s="153"/>
    </row>
    <row r="20" spans="1:7" ht="14.25" customHeight="1" x14ac:dyDescent="0.3">
      <c r="F20" s="92"/>
      <c r="G20" s="92"/>
    </row>
    <row r="21" spans="1:7" ht="14.25" customHeight="1" x14ac:dyDescent="0.3">
      <c r="F21" s="157" t="s">
        <v>41</v>
      </c>
      <c r="G21" s="157"/>
    </row>
    <row r="22" spans="1:7" ht="14.25" customHeight="1" x14ac:dyDescent="0.3">
      <c r="F22" s="154">
        <f>B8</f>
        <v>75000</v>
      </c>
      <c r="G22" s="155"/>
    </row>
    <row r="23" spans="1:7" ht="14.25" customHeight="1" x14ac:dyDescent="0.3">
      <c r="F23" s="159" t="s">
        <v>42</v>
      </c>
      <c r="G23" s="159"/>
    </row>
    <row r="24" spans="1:7" ht="14.25" customHeight="1" x14ac:dyDescent="0.3">
      <c r="F24" s="92"/>
      <c r="G24" s="92"/>
    </row>
    <row r="25" spans="1:7" ht="14.25" customHeight="1" x14ac:dyDescent="0.3">
      <c r="F25" s="158" t="s">
        <v>43</v>
      </c>
      <c r="G25" s="158"/>
    </row>
    <row r="26" spans="1:7" ht="14.25" customHeight="1" x14ac:dyDescent="0.3">
      <c r="F26" s="156" t="s">
        <v>44</v>
      </c>
      <c r="G26" s="157"/>
    </row>
    <row r="27" spans="1:7" ht="14.25" customHeight="1" x14ac:dyDescent="0.3">
      <c r="F27" s="154">
        <f>IFERROR(F22*0.21,"")</f>
        <v>15750</v>
      </c>
      <c r="G27" s="155"/>
    </row>
    <row r="28" spans="1:7" ht="14.25" customHeight="1" x14ac:dyDescent="0.3">
      <c r="F28" s="92"/>
      <c r="G28" s="92"/>
    </row>
    <row r="29" spans="1:7" ht="14.25" customHeight="1" x14ac:dyDescent="0.3">
      <c r="F29" s="158" t="s">
        <v>45</v>
      </c>
      <c r="G29" s="158"/>
    </row>
    <row r="30" spans="1:7" ht="14.25" customHeight="1" x14ac:dyDescent="0.3">
      <c r="F30" s="157" t="s">
        <v>46</v>
      </c>
      <c r="G30" s="157"/>
    </row>
    <row r="31" spans="1:7" ht="14.25" customHeight="1" x14ac:dyDescent="0.3">
      <c r="F31" s="148">
        <f>IFERROR(F22-F27,"")</f>
        <v>59250</v>
      </c>
      <c r="G31" s="149"/>
    </row>
    <row r="32" spans="1:7" ht="14.25" customHeight="1" x14ac:dyDescent="0.3">
      <c r="F32" s="150" t="s">
        <v>101</v>
      </c>
      <c r="G32" s="150"/>
    </row>
    <row r="33" spans="1:8" ht="14.25" customHeight="1" x14ac:dyDescent="0.3">
      <c r="F33" s="150"/>
      <c r="G33" s="150"/>
    </row>
    <row r="34" spans="1:8" ht="14.25" customHeight="1" x14ac:dyDescent="0.3">
      <c r="F34" s="150"/>
      <c r="G34" s="150"/>
    </row>
    <row r="35" spans="1:8" ht="21.75" customHeight="1" x14ac:dyDescent="0.3">
      <c r="F35" s="150"/>
      <c r="G35" s="150"/>
    </row>
    <row r="36" spans="1:8" ht="8.25" customHeight="1" x14ac:dyDescent="0.3">
      <c r="F36" s="150"/>
      <c r="G36" s="150"/>
    </row>
    <row r="37" spans="1:8" ht="56.25" customHeight="1" x14ac:dyDescent="0.3">
      <c r="A37" s="160" t="s">
        <v>48</v>
      </c>
      <c r="B37" s="160"/>
      <c r="C37" s="160"/>
      <c r="D37" s="160"/>
      <c r="E37" s="160"/>
      <c r="F37" s="150"/>
      <c r="G37" s="150"/>
    </row>
    <row r="38" spans="1:8" ht="21.75" customHeight="1" x14ac:dyDescent="0.3">
      <c r="A38" s="18" t="s">
        <v>49</v>
      </c>
      <c r="D38" s="18" t="s">
        <v>50</v>
      </c>
      <c r="F38" s="150"/>
      <c r="G38" s="150"/>
    </row>
    <row r="39" spans="1:8" ht="13.5" customHeight="1" x14ac:dyDescent="0.3">
      <c r="A39" s="20" t="s">
        <v>51</v>
      </c>
      <c r="D39" s="20" t="s">
        <v>52</v>
      </c>
      <c r="E39" s="20"/>
      <c r="F39" s="150"/>
      <c r="G39" s="150"/>
    </row>
    <row r="40" spans="1:8" ht="12.75" customHeight="1" x14ac:dyDescent="0.3">
      <c r="A40" s="21" t="s">
        <v>53</v>
      </c>
      <c r="B40" s="22"/>
      <c r="F40" s="150"/>
      <c r="G40" s="150"/>
    </row>
    <row r="41" spans="1:8" ht="17.25" customHeight="1" x14ac:dyDescent="0.3">
      <c r="A41" s="18" t="s">
        <v>97</v>
      </c>
      <c r="D41" s="18" t="s">
        <v>98</v>
      </c>
      <c r="F41" s="19"/>
      <c r="G41" s="19"/>
    </row>
    <row r="42" spans="1:8" ht="17.25" customHeight="1" x14ac:dyDescent="0.3">
      <c r="A42" s="18" t="s">
        <v>96</v>
      </c>
      <c r="D42" s="18" t="s">
        <v>95</v>
      </c>
      <c r="F42" s="151"/>
      <c r="G42" s="151"/>
    </row>
    <row r="43" spans="1:8" ht="14.25" customHeight="1" x14ac:dyDescent="0.3">
      <c r="A43" s="121" t="s">
        <v>99</v>
      </c>
      <c r="D43" s="121" t="s">
        <v>100</v>
      </c>
      <c r="G43" s="19"/>
    </row>
    <row r="44" spans="1:8" ht="54.75" customHeight="1" x14ac:dyDescent="0.3"/>
    <row r="46" spans="1:8" x14ac:dyDescent="0.3">
      <c r="A46" s="79"/>
      <c r="B46" s="79"/>
      <c r="C46" s="79"/>
      <c r="D46" s="79"/>
      <c r="E46" s="79"/>
      <c r="G46" s="19"/>
      <c r="H46" s="19"/>
    </row>
    <row r="47" spans="1:8" ht="16.5" customHeight="1" x14ac:dyDescent="0.3">
      <c r="F47" s="79"/>
      <c r="G47" s="19"/>
      <c r="H47" s="19"/>
    </row>
    <row r="48" spans="1:8" x14ac:dyDescent="0.3">
      <c r="G48" s="19"/>
      <c r="H48" s="19"/>
    </row>
    <row r="49" spans="7:8" x14ac:dyDescent="0.3">
      <c r="G49" s="19"/>
      <c r="H49" s="19"/>
    </row>
  </sheetData>
  <sheetProtection algorithmName="SHA-512" hashValue="HLzWs7xPghrKOja+M2XHijrJj7t0l1k5TKxT9TWz3siOsvAmsv07jKegDQMIn4nRQsxS1f1VvGZnCR8C0b2ivA==" saltValue="DfeIZ4WUF/KzEav353CHlg==" spinCount="100000" sheet="1" selectLockedCells="1" selectUnlockedCells="1"/>
  <mergeCells count="15">
    <mergeCell ref="F42:G42"/>
    <mergeCell ref="C11:D11"/>
    <mergeCell ref="C12:D12"/>
    <mergeCell ref="F27:G27"/>
    <mergeCell ref="F29:G29"/>
    <mergeCell ref="F30:G30"/>
    <mergeCell ref="F31:G31"/>
    <mergeCell ref="F32:G40"/>
    <mergeCell ref="A37:E37"/>
    <mergeCell ref="F19:G19"/>
    <mergeCell ref="F21:G21"/>
    <mergeCell ref="F22:G22"/>
    <mergeCell ref="F23:G23"/>
    <mergeCell ref="F25:G25"/>
    <mergeCell ref="F26:G26"/>
  </mergeCells>
  <hyperlinks>
    <hyperlink ref="A43" r:id="rId1" xr:uid="{9EFE7B2D-9466-4F28-AE4D-2D51D386097A}"/>
    <hyperlink ref="D43" r:id="rId2" xr:uid="{B5786DD3-C3C4-49CA-87CE-C4A45BFB0D3A}"/>
  </hyperlinks>
  <pageMargins left="0.28000000000000003" right="0.25" top="0.25" bottom="0.25" header="0.3" footer="0.3"/>
  <pageSetup orientation="portrait"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Quoting Worksheet</vt:lpstr>
      <vt:lpstr>Interest Buydown Worksheet</vt:lpstr>
      <vt:lpstr>Rate Factor Sheet</vt:lpstr>
      <vt:lpstr>Customer Proposal and App</vt:lpstr>
      <vt:lpstr>Q3&amp;Q4 Promotion 3.5%</vt:lpstr>
      <vt:lpstr>Q3&amp;Q4 Promotion 6 Mos. Cash</vt:lpstr>
      <vt:lpstr>Epic 0% Proposal and App</vt:lpstr>
    </vt:vector>
  </TitlesOfParts>
  <Manager/>
  <Company>Marlin Business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bmcmahon</dc:creator>
  <cp:keywords/>
  <dc:description/>
  <cp:lastModifiedBy>pmascaro</cp:lastModifiedBy>
  <cp:revision/>
  <cp:lastPrinted>2019-09-12T19:16:04Z</cp:lastPrinted>
  <dcterms:created xsi:type="dcterms:W3CDTF">2013-07-02T11:42:58Z</dcterms:created>
  <dcterms:modified xsi:type="dcterms:W3CDTF">2019-09-12T21:30:18Z</dcterms:modified>
  <cp:category/>
  <cp:contentStatus/>
</cp:coreProperties>
</file>